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d.uci.edu\uci\PB\Files\Budget\Karen Mizumoto\Documents\New Program Web Page AM\"/>
    </mc:Choice>
  </mc:AlternateContent>
  <xr:revisionPtr revIDLastSave="0" documentId="8_{3E350764-F3A9-4C7D-B673-D3D4B04E11D5}" xr6:coauthVersionLast="47" xr6:coauthVersionMax="47" xr10:uidLastSave="{00000000-0000-0000-0000-000000000000}"/>
  <bookViews>
    <workbookView xWindow="-25320" yWindow="-120" windowWidth="25440" windowHeight="15390" xr2:uid="{00000000-000D-0000-FFFF-FFFF00000000}"/>
  </bookViews>
  <sheets>
    <sheet name="Funding Model" sheetId="5" r:id="rId1"/>
    <sheet name="Funding Model (Example)" sheetId="3" r:id="rId2"/>
    <sheet name="Planning Assumptions &amp; Inst" sheetId="4" r:id="rId3"/>
    <sheet name="Benefit Rates Resources" sheetId="6" r:id="rId4"/>
  </sheets>
  <definedNames>
    <definedName name="_xlnm.Print_Area" localSheetId="0">'Funding Model'!$A$1:$L$67</definedName>
    <definedName name="_xlnm.Print_Area" localSheetId="1">'Funding Model (Example)'!$A$1:$L$70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5" l="1"/>
  <c r="G67" i="5"/>
  <c r="H67" i="5"/>
  <c r="I67" i="5"/>
  <c r="J67" i="5"/>
  <c r="K67" i="5"/>
  <c r="L67" i="5"/>
  <c r="F66" i="5"/>
  <c r="G66" i="5"/>
  <c r="H66" i="5"/>
  <c r="I66" i="5"/>
  <c r="J66" i="5"/>
  <c r="K66" i="5"/>
  <c r="L66" i="5"/>
  <c r="E68" i="3"/>
  <c r="E67" i="5"/>
  <c r="E66" i="5"/>
  <c r="E67" i="3"/>
  <c r="E65" i="5"/>
  <c r="E63" i="5"/>
  <c r="E59" i="3"/>
  <c r="E60" i="5"/>
  <c r="E61" i="3"/>
  <c r="L55" i="3"/>
  <c r="E55" i="3"/>
  <c r="C54" i="5"/>
  <c r="C55" i="3"/>
  <c r="F53" i="5"/>
  <c r="G53" i="5"/>
  <c r="H53" i="5"/>
  <c r="I53" i="5"/>
  <c r="J53" i="5"/>
  <c r="K53" i="5"/>
  <c r="L53" i="5"/>
  <c r="E53" i="5"/>
  <c r="E54" i="3"/>
  <c r="F52" i="5"/>
  <c r="G52" i="5"/>
  <c r="H52" i="5"/>
  <c r="I52" i="5"/>
  <c r="J52" i="5"/>
  <c r="K52" i="5"/>
  <c r="L52" i="5"/>
  <c r="E52" i="5"/>
  <c r="L51" i="5"/>
  <c r="K51" i="5"/>
  <c r="J50" i="5"/>
  <c r="K50" i="3"/>
  <c r="K50" i="5"/>
  <c r="L50" i="5"/>
  <c r="F49" i="5"/>
  <c r="G49" i="5"/>
  <c r="H49" i="5"/>
  <c r="I49" i="5"/>
  <c r="J49" i="5"/>
  <c r="K49" i="5"/>
  <c r="L49" i="5"/>
  <c r="E49" i="5"/>
  <c r="L54" i="5"/>
  <c r="K54" i="5"/>
  <c r="J54" i="5"/>
  <c r="I54" i="5"/>
  <c r="H54" i="5"/>
  <c r="G54" i="5"/>
  <c r="F54" i="5"/>
  <c r="E54" i="5"/>
  <c r="F41" i="5"/>
  <c r="G41" i="5"/>
  <c r="H41" i="5"/>
  <c r="I41" i="5"/>
  <c r="J41" i="5"/>
  <c r="K41" i="5"/>
  <c r="L41" i="5"/>
  <c r="F40" i="5"/>
  <c r="G40" i="5"/>
  <c r="H40" i="5"/>
  <c r="I40" i="5"/>
  <c r="J40" i="5"/>
  <c r="K40" i="5"/>
  <c r="L40" i="5"/>
  <c r="F39" i="5"/>
  <c r="G39" i="5"/>
  <c r="H39" i="5"/>
  <c r="I39" i="5"/>
  <c r="J39" i="5"/>
  <c r="K39" i="5"/>
  <c r="L39" i="5"/>
  <c r="F38" i="5"/>
  <c r="G38" i="5"/>
  <c r="H38" i="5"/>
  <c r="I38" i="5"/>
  <c r="J38" i="5"/>
  <c r="K38" i="5"/>
  <c r="L38" i="5"/>
  <c r="F37" i="5"/>
  <c r="G37" i="5"/>
  <c r="H37" i="5"/>
  <c r="I37" i="5"/>
  <c r="J37" i="5"/>
  <c r="K37" i="5"/>
  <c r="L37" i="5"/>
  <c r="F36" i="5"/>
  <c r="G36" i="5"/>
  <c r="H36" i="5"/>
  <c r="I36" i="5"/>
  <c r="J36" i="5"/>
  <c r="K36" i="5"/>
  <c r="L36" i="5"/>
  <c r="F35" i="5"/>
  <c r="G35" i="5"/>
  <c r="H35" i="5"/>
  <c r="I35" i="5"/>
  <c r="J35" i="5"/>
  <c r="K35" i="5"/>
  <c r="L35" i="5"/>
  <c r="F41" i="3"/>
  <c r="G41" i="3"/>
  <c r="H41" i="3"/>
  <c r="I41" i="3"/>
  <c r="J41" i="3"/>
  <c r="K41" i="3"/>
  <c r="L41" i="3"/>
  <c r="E41" i="3"/>
  <c r="E40" i="3"/>
  <c r="F39" i="3"/>
  <c r="G39" i="3"/>
  <c r="H39" i="3"/>
  <c r="I39" i="3"/>
  <c r="J39" i="3"/>
  <c r="K39" i="3"/>
  <c r="L39" i="3"/>
  <c r="E38" i="3"/>
  <c r="F40" i="3"/>
  <c r="E39" i="3"/>
  <c r="F36" i="3"/>
  <c r="E36" i="3"/>
  <c r="E36" i="5"/>
  <c r="J34" i="3"/>
  <c r="K34" i="3"/>
  <c r="L34" i="3"/>
  <c r="I38" i="3"/>
  <c r="H38" i="3"/>
  <c r="G38" i="3"/>
  <c r="F38" i="3"/>
  <c r="L36" i="3"/>
  <c r="K36" i="3"/>
  <c r="J36" i="3"/>
  <c r="I36" i="3"/>
  <c r="H36" i="3"/>
  <c r="G36" i="3"/>
  <c r="L35" i="3"/>
  <c r="K35" i="3"/>
  <c r="J35" i="3"/>
  <c r="I35" i="3"/>
  <c r="H35" i="3"/>
  <c r="G35" i="3"/>
  <c r="E35" i="3"/>
  <c r="G34" i="3"/>
  <c r="F34" i="3"/>
  <c r="E34" i="3"/>
  <c r="C34" i="3"/>
  <c r="E35" i="5"/>
  <c r="G27" i="5"/>
  <c r="H27" i="5"/>
  <c r="I27" i="5" s="1"/>
  <c r="J27" i="5" s="1"/>
  <c r="K27" i="5" s="1"/>
  <c r="L27" i="5" s="1"/>
  <c r="F27" i="5"/>
  <c r="G26" i="5"/>
  <c r="H26" i="5" s="1"/>
  <c r="I26" i="5" s="1"/>
  <c r="J26" i="5" s="1"/>
  <c r="K26" i="5" s="1"/>
  <c r="L26" i="5" s="1"/>
  <c r="F26" i="5"/>
  <c r="F25" i="5"/>
  <c r="G25" i="5" s="1"/>
  <c r="H25" i="5" s="1"/>
  <c r="I25" i="5" s="1"/>
  <c r="J25" i="5" s="1"/>
  <c r="K25" i="5" s="1"/>
  <c r="L25" i="5" s="1"/>
  <c r="C23" i="5"/>
  <c r="C21" i="5"/>
  <c r="F22" i="3"/>
  <c r="D25" i="4"/>
  <c r="B47" i="6"/>
  <c r="B46" i="6"/>
  <c r="B45" i="6"/>
  <c r="C22" i="3"/>
  <c r="E20" i="5" l="1"/>
  <c r="E21" i="5" s="1"/>
  <c r="F20" i="5" l="1"/>
  <c r="F21" i="5" s="1"/>
  <c r="E15" i="5"/>
  <c r="E14" i="5"/>
  <c r="E13" i="5"/>
  <c r="E22" i="5"/>
  <c r="E23" i="5" s="1"/>
  <c r="G20" i="5" l="1"/>
  <c r="G21" i="5" s="1"/>
  <c r="F22" i="5"/>
  <c r="F23" i="5" s="1"/>
  <c r="H13" i="3"/>
  <c r="G13" i="3"/>
  <c r="F13" i="3"/>
  <c r="G22" i="5" l="1"/>
  <c r="G23" i="5" s="1"/>
  <c r="H20" i="5"/>
  <c r="H21" i="5" s="1"/>
  <c r="H22" i="5" l="1"/>
  <c r="H23" i="5" s="1"/>
  <c r="I20" i="5"/>
  <c r="I21" i="5" s="1"/>
  <c r="L14" i="5"/>
  <c r="K14" i="5"/>
  <c r="J14" i="5"/>
  <c r="I14" i="5"/>
  <c r="H14" i="5"/>
  <c r="G14" i="5"/>
  <c r="F14" i="5"/>
  <c r="L10" i="5"/>
  <c r="L60" i="5" s="1"/>
  <c r="K10" i="5"/>
  <c r="J10" i="5"/>
  <c r="I10" i="5"/>
  <c r="I60" i="5" s="1"/>
  <c r="H10" i="5"/>
  <c r="G10" i="5"/>
  <c r="F10" i="5"/>
  <c r="E10" i="5"/>
  <c r="I22" i="5" l="1"/>
  <c r="I23" i="5" s="1"/>
  <c r="J20" i="5"/>
  <c r="J21" i="5" s="1"/>
  <c r="J60" i="5"/>
  <c r="F60" i="5"/>
  <c r="K60" i="5"/>
  <c r="E16" i="5"/>
  <c r="F13" i="5"/>
  <c r="F15" i="5"/>
  <c r="E39" i="5"/>
  <c r="G60" i="5"/>
  <c r="H60" i="5"/>
  <c r="I61" i="3"/>
  <c r="C54" i="3"/>
  <c r="I53" i="3"/>
  <c r="H53" i="3"/>
  <c r="C50" i="3"/>
  <c r="C39" i="3"/>
  <c r="K38" i="3"/>
  <c r="E21" i="3"/>
  <c r="E22" i="3" s="1"/>
  <c r="E17" i="3"/>
  <c r="E51" i="3" s="1"/>
  <c r="L16" i="3"/>
  <c r="K16" i="3"/>
  <c r="J16" i="3"/>
  <c r="I16" i="3"/>
  <c r="H16" i="3"/>
  <c r="G16" i="3"/>
  <c r="F16" i="3"/>
  <c r="E16" i="3"/>
  <c r="E13" i="3"/>
  <c r="L10" i="3"/>
  <c r="L61" i="3" s="1"/>
  <c r="K10" i="3"/>
  <c r="K61" i="3" s="1"/>
  <c r="J10" i="3"/>
  <c r="J38" i="3" s="1"/>
  <c r="I10" i="3"/>
  <c r="H10" i="3"/>
  <c r="G10" i="3"/>
  <c r="F10" i="3"/>
  <c r="E10" i="3"/>
  <c r="J22" i="5" l="1"/>
  <c r="J23" i="5" s="1"/>
  <c r="K20" i="5"/>
  <c r="K21" i="5" s="1"/>
  <c r="F21" i="3"/>
  <c r="E31" i="5"/>
  <c r="E37" i="5"/>
  <c r="E38" i="5"/>
  <c r="E40" i="5"/>
  <c r="E41" i="5" s="1"/>
  <c r="F16" i="5"/>
  <c r="G13" i="5"/>
  <c r="F31" i="5"/>
  <c r="G15" i="5"/>
  <c r="E52" i="3"/>
  <c r="L50" i="3"/>
  <c r="F48" i="3"/>
  <c r="F61" i="3"/>
  <c r="G48" i="3"/>
  <c r="G61" i="3"/>
  <c r="E18" i="3"/>
  <c r="H61" i="3"/>
  <c r="H48" i="3"/>
  <c r="F17" i="3"/>
  <c r="F30" i="3"/>
  <c r="E48" i="3"/>
  <c r="L38" i="3"/>
  <c r="I48" i="3"/>
  <c r="J61" i="3"/>
  <c r="K22" i="5" l="1"/>
  <c r="K23" i="5" s="1"/>
  <c r="G21" i="3"/>
  <c r="G22" i="3" s="1"/>
  <c r="L22" i="5"/>
  <c r="L23" i="5" s="1"/>
  <c r="L20" i="5"/>
  <c r="L21" i="5" s="1"/>
  <c r="E43" i="5"/>
  <c r="E45" i="5" s="1"/>
  <c r="H15" i="5"/>
  <c r="G16" i="5"/>
  <c r="H13" i="5"/>
  <c r="G31" i="5"/>
  <c r="E37" i="3"/>
  <c r="E24" i="3"/>
  <c r="F18" i="3"/>
  <c r="F51" i="3"/>
  <c r="G17" i="3"/>
  <c r="F67" i="3"/>
  <c r="F68" i="3" s="1"/>
  <c r="F35" i="3"/>
  <c r="F52" i="3" s="1"/>
  <c r="H21" i="3"/>
  <c r="G30" i="3"/>
  <c r="F63" i="5" l="1"/>
  <c r="F43" i="5"/>
  <c r="F45" i="5" s="1"/>
  <c r="I13" i="5"/>
  <c r="H16" i="5"/>
  <c r="I15" i="5"/>
  <c r="F59" i="3"/>
  <c r="F37" i="3"/>
  <c r="F54" i="3"/>
  <c r="F42" i="3"/>
  <c r="F44" i="3" s="1"/>
  <c r="H22" i="3"/>
  <c r="H30" i="3" s="1"/>
  <c r="I21" i="3"/>
  <c r="G18" i="3"/>
  <c r="E30" i="3"/>
  <c r="E64" i="3"/>
  <c r="E42" i="3"/>
  <c r="F55" i="3"/>
  <c r="G51" i="3"/>
  <c r="H17" i="3"/>
  <c r="G52" i="3"/>
  <c r="E44" i="3" l="1"/>
  <c r="E66" i="3" s="1"/>
  <c r="F64" i="3"/>
  <c r="F66" i="3" s="1"/>
  <c r="F65" i="5"/>
  <c r="G63" i="5"/>
  <c r="J13" i="5"/>
  <c r="I16" i="5"/>
  <c r="J15" i="5"/>
  <c r="G43" i="5"/>
  <c r="G45" i="5" s="1"/>
  <c r="H31" i="5"/>
  <c r="G67" i="3"/>
  <c r="G68" i="3" s="1"/>
  <c r="G37" i="3"/>
  <c r="G54" i="3"/>
  <c r="G40" i="3"/>
  <c r="G59" i="3" s="1"/>
  <c r="G55" i="3"/>
  <c r="I13" i="3"/>
  <c r="H18" i="3"/>
  <c r="H51" i="3"/>
  <c r="I17" i="3"/>
  <c r="H52" i="3"/>
  <c r="I22" i="3"/>
  <c r="I30" i="3" s="1"/>
  <c r="J21" i="3"/>
  <c r="G42" i="3" l="1"/>
  <c r="G44" i="3" s="1"/>
  <c r="G64" i="3"/>
  <c r="G65" i="5"/>
  <c r="H63" i="5"/>
  <c r="K15" i="5"/>
  <c r="H43" i="5"/>
  <c r="H45" i="5" s="1"/>
  <c r="I31" i="5"/>
  <c r="K13" i="5"/>
  <c r="J16" i="5"/>
  <c r="J22" i="3"/>
  <c r="K21" i="3"/>
  <c r="K22" i="3" s="1"/>
  <c r="J17" i="3"/>
  <c r="I51" i="3"/>
  <c r="I52" i="3"/>
  <c r="H67" i="3"/>
  <c r="H68" i="3" s="1"/>
  <c r="H40" i="3"/>
  <c r="H59" i="3" s="1"/>
  <c r="H54" i="3"/>
  <c r="H37" i="3"/>
  <c r="H34" i="3"/>
  <c r="H55" i="3"/>
  <c r="J13" i="3"/>
  <c r="I18" i="3"/>
  <c r="G66" i="3" l="1"/>
  <c r="H42" i="3"/>
  <c r="H44" i="3" s="1"/>
  <c r="H64" i="3"/>
  <c r="H65" i="5"/>
  <c r="I43" i="5"/>
  <c r="I45" i="5" s="1"/>
  <c r="I63" i="5"/>
  <c r="K31" i="5"/>
  <c r="L13" i="5"/>
  <c r="K16" i="5"/>
  <c r="L15" i="5"/>
  <c r="J31" i="5"/>
  <c r="I67" i="3"/>
  <c r="I68" i="3" s="1"/>
  <c r="K17" i="3"/>
  <c r="J51" i="3"/>
  <c r="J52" i="3"/>
  <c r="K30" i="3"/>
  <c r="L21" i="3"/>
  <c r="J30" i="3"/>
  <c r="K13" i="3"/>
  <c r="J18" i="3"/>
  <c r="I40" i="3"/>
  <c r="I59" i="3" s="1"/>
  <c r="I37" i="3"/>
  <c r="I54" i="3"/>
  <c r="I34" i="3"/>
  <c r="I55" i="3"/>
  <c r="H66" i="3" l="1"/>
  <c r="I64" i="3"/>
  <c r="J43" i="5"/>
  <c r="J45" i="5" s="1"/>
  <c r="L16" i="5"/>
  <c r="I65" i="5"/>
  <c r="J63" i="5"/>
  <c r="L31" i="5"/>
  <c r="J40" i="3"/>
  <c r="J59" i="3" s="1"/>
  <c r="J49" i="3"/>
  <c r="J37" i="3"/>
  <c r="J54" i="3"/>
  <c r="J55" i="3"/>
  <c r="K18" i="3"/>
  <c r="L13" i="3"/>
  <c r="K51" i="3"/>
  <c r="L17" i="3"/>
  <c r="I42" i="3"/>
  <c r="I44" i="3" s="1"/>
  <c r="L22" i="3"/>
  <c r="L30" i="3" s="1"/>
  <c r="J42" i="3" l="1"/>
  <c r="J44" i="3" s="1"/>
  <c r="I66" i="3"/>
  <c r="K43" i="5"/>
  <c r="K45" i="5" s="1"/>
  <c r="J65" i="5"/>
  <c r="K63" i="5"/>
  <c r="L51" i="3"/>
  <c r="L18" i="3"/>
  <c r="K52" i="3"/>
  <c r="J67" i="3"/>
  <c r="J68" i="3" s="1"/>
  <c r="J64" i="3"/>
  <c r="K49" i="3"/>
  <c r="K37" i="3"/>
  <c r="K54" i="3"/>
  <c r="K40" i="3"/>
  <c r="K59" i="3" s="1"/>
  <c r="K55" i="3"/>
  <c r="J66" i="3" l="1"/>
  <c r="L43" i="5"/>
  <c r="L45" i="5" s="1"/>
  <c r="L63" i="5"/>
  <c r="K65" i="5"/>
  <c r="L54" i="3"/>
  <c r="L40" i="3"/>
  <c r="L59" i="3" s="1"/>
  <c r="L49" i="3"/>
  <c r="L37" i="3"/>
  <c r="L52" i="3"/>
  <c r="K67" i="3"/>
  <c r="K68" i="3" s="1"/>
  <c r="K64" i="3"/>
  <c r="K42" i="3"/>
  <c r="K44" i="3" s="1"/>
  <c r="L42" i="3" l="1"/>
  <c r="L44" i="3" s="1"/>
  <c r="K66" i="3"/>
  <c r="L65" i="5"/>
  <c r="L67" i="3"/>
  <c r="L68" i="3" s="1"/>
  <c r="L64" i="3"/>
  <c r="L6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tc={E3A46BF2-CDD0-4A40-8627-81486D145C4A}</author>
    <author>tc={7AF4A088-9BFB-497E-BF90-A2090FDB094B}</author>
    <author>tc={B0013B70-01D7-47B8-9F6E-91028DEFEC6B}</author>
    <author>tc={C38B397C-ADAD-4D0A-B76D-B10976DD993C}</author>
    <author>tc={1EA06ECD-5CE7-443B-9BC7-97894B6E7483}</author>
    <author>tc={AAD82EAA-3C28-4F9E-8E8E-BB5369AFB2B3}</author>
  </authors>
  <commentList>
    <comment ref="B18" authorId="0" shapeId="0" xr:uid="{E3A46BF2-CDD0-4A40-8627-81486D145C4A}">
      <text>
        <t>[Threaded comment]
Your version of Excel allows you to read this threaded comment; however, any edits to it will get removed if the file is opened in a newer version of Excel. Learn more: https://go.microsoft.com/fwlink/?linkid=870924
Comment:
    Please update program cost descriptions specific to your program</t>
      </text>
    </comment>
    <comment ref="C20" authorId="1" shapeId="0" xr:uid="{7AF4A088-9BFB-497E-BF90-A2090FDB094B}">
      <text>
        <t xml:space="preserve">[Threaded comment]
Your version of Excel allows you to read this threaded comment; however, any edits to it will get removed if the file is opened in a newer version of Excel. Learn more: https://go.microsoft.com/fwlink/?linkid=870924
Comment:
    Put total base labor here , it will calculate year over year with annual increase.  In the assumptions/comments column please specify details on labor. </t>
      </text>
    </comment>
    <comment ref="C21" authorId="2" shapeId="0" xr:uid="{B0013B70-01D7-47B8-9F6E-91028DEFEC6B}">
      <text>
        <t xml:space="preserve">[Threaded comment]
Your version of Excel allows you to read this threaded comment; however, any edits to it will get removed if the file is opened in a newer version of Excel. Learn more: https://go.microsoft.com/fwlink/?linkid=870924
Comment:
    Refer to Benefit Rate Resource Tab for reference to input the rates appropriate  to faculty labor. Adjust as needed.
</t>
      </text>
    </comment>
    <comment ref="C22" authorId="3" shapeId="0" xr:uid="{C38B397C-ADAD-4D0A-B76D-B10976DD993C}">
      <text>
        <t xml:space="preserve">[Threaded comment]
Your version of Excel allows you to read this threaded comment; however, any edits to it will get removed if the file is opened in a newer version of Excel. Learn more: https://go.microsoft.com/fwlink/?linkid=870924
Comment:
    Put total base labor here , it will calculate year over year with annual increase.  In the assumptions/comments column please specify details on labor. </t>
      </text>
    </comment>
    <comment ref="C23" authorId="4" shapeId="0" xr:uid="{1EA06ECD-5CE7-443B-9BC7-97894B6E7483}">
      <text>
        <t>[Threaded comment]
Your version of Excel allows you to read this threaded comment; however, any edits to it will get removed if the file is opened in a newer version of Excel. Learn more: https://go.microsoft.com/fwlink/?linkid=870924
Comment:
    Refer to Benefit Rate Resource Tab for reference to input the rates appropriate to staff labor. Adjust as needed.</t>
      </text>
    </comment>
    <comment ref="E25" authorId="5" shapeId="0" xr:uid="{AAD82EAA-3C28-4F9E-8E8E-BB5369AFB2B3}">
      <text>
        <t xml:space="preserve">[Threaded comment]
Your version of Excel allows you to read this threaded comment; however, any edits to it will get removed if the file is opened in a newer version of Excel. Learn more: https://go.microsoft.com/fwlink/?linkid=870924
Comment:
    Enter Expense for other expense here. Out years will calculate to account for inflation. </t>
      </text>
    </comment>
  </commentList>
</comments>
</file>

<file path=xl/sharedStrings.xml><?xml version="1.0" encoding="utf-8"?>
<sst xmlns="http://schemas.openxmlformats.org/spreadsheetml/2006/main" count="209" uniqueCount="146">
  <si>
    <t>Per Student</t>
  </si>
  <si>
    <t>Incoming Cohort</t>
  </si>
  <si>
    <t>Year 1</t>
  </si>
  <si>
    <t>Year 2</t>
  </si>
  <si>
    <t>Year 3</t>
  </si>
  <si>
    <t>Year 4</t>
  </si>
  <si>
    <t>Year 5</t>
  </si>
  <si>
    <t>Year 6</t>
  </si>
  <si>
    <t>Year 7</t>
  </si>
  <si>
    <t>International</t>
  </si>
  <si>
    <t>Total Program Size</t>
  </si>
  <si>
    <t>Sources</t>
  </si>
  <si>
    <t>Tuition &amp; Fee Remission - Res.</t>
  </si>
  <si>
    <t>Total Program Headcount</t>
  </si>
  <si>
    <t>Campus-Based Fees</t>
  </si>
  <si>
    <t>Notes</t>
  </si>
  <si>
    <t>Funding Gap</t>
  </si>
  <si>
    <t>Program Costs (if applicable)</t>
  </si>
  <si>
    <t>Total Program Costs</t>
  </si>
  <si>
    <t>Student Support</t>
  </si>
  <si>
    <t>Total Student Support</t>
  </si>
  <si>
    <t>Campus NRST Program</t>
  </si>
  <si>
    <t>External Fellowships</t>
  </si>
  <si>
    <t>Other (describe)</t>
  </si>
  <si>
    <t>GSR Appointments</t>
  </si>
  <si>
    <t>Total Sources</t>
  </si>
  <si>
    <t>6 Yr Norm TTD</t>
  </si>
  <si>
    <t>Year 8</t>
  </si>
  <si>
    <t>Total Incoming Cohort</t>
  </si>
  <si>
    <t>Campus Linear Block</t>
  </si>
  <si>
    <t>Campus Startup Funds (per new)</t>
  </si>
  <si>
    <t>TOTAL COSTS</t>
  </si>
  <si>
    <t>GSHIP</t>
  </si>
  <si>
    <t xml:space="preserve">Funding Request </t>
  </si>
  <si>
    <t>Proposal ignores inflationary factors</t>
  </si>
  <si>
    <t>Equipment</t>
  </si>
  <si>
    <t>Operating budget (recruitment, events)</t>
  </si>
  <si>
    <t>CA Resident</t>
  </si>
  <si>
    <t>Non-CA resident (establish residency year 2)</t>
  </si>
  <si>
    <t xml:space="preserve">Non-CA resident  </t>
  </si>
  <si>
    <t>Tuition &amp; Fee Remission - NRST</t>
  </si>
  <si>
    <t>TA Salary</t>
  </si>
  <si>
    <t>School Funding</t>
  </si>
  <si>
    <t>Grants and Gifts</t>
  </si>
  <si>
    <t>Campus Linear Block Graduated  Allocation</t>
  </si>
  <si>
    <t>Domestic - Transfers From Visual Studies</t>
  </si>
  <si>
    <t>Program Coordinator Benefits</t>
  </si>
  <si>
    <t>Stipends</t>
  </si>
  <si>
    <t>School TA Allocations (Sal)</t>
  </si>
  <si>
    <t>School TA Allocations ( Rem)</t>
  </si>
  <si>
    <t>International Transfers From Visual Studies</t>
  </si>
  <si>
    <t>TA Benefits</t>
  </si>
  <si>
    <t>Fees Paid By Non/TA Student</t>
  </si>
  <si>
    <t>Summer Support (Funded 1st Summer)</t>
  </si>
  <si>
    <t>SOH Block Funded NRST</t>
  </si>
  <si>
    <t>SOH Block Supplement</t>
  </si>
  <si>
    <t>Program Coordinator Salary (50%)</t>
  </si>
  <si>
    <t>All graduate students in the School of Humanities are eligible for additional funding support through School-based conference travel grants ($2000 max), language grants ($2000 max), and summer dissertation fellowships ($4000 max) on a competitive basis. In addition, the School of Humanities provides graduate students with full in-state tuition and fee coverage if the student secures an external fellowship that provides a stipend of $5000+/quarter.</t>
  </si>
  <si>
    <t>Low range (without non-residents)</t>
  </si>
  <si>
    <t>Estimated New Campus Funding Needed</t>
  </si>
  <si>
    <t>Date last updated:</t>
  </si>
  <si>
    <t>xx/xx/xx</t>
  </si>
  <si>
    <t>Graduate Degree Program - Proposed Financial Plan for a New State-Supported Academic Graduate Degree</t>
  </si>
  <si>
    <t>Submit to UC Irvine Budget Office as early as possible in planning process (minimum of 1 month before UCI Senate review, but preferably submit drafts much earlier)</t>
  </si>
  <si>
    <r>
      <t>a.</t>
    </r>
    <r>
      <rPr>
        <sz val="7"/>
        <color rgb="FF1F497D"/>
        <rFont val="Times New Roman"/>
        <family val="1"/>
      </rPr>
      <t>      </t>
    </r>
    <r>
      <rPr>
        <sz val="11"/>
        <color rgb="FF1F497D"/>
        <rFont val="Calibri"/>
        <family val="2"/>
      </rPr>
      <t>Assume annual increases of 4.2% to all faculty and staff compensation.</t>
    </r>
  </si>
  <si>
    <r>
      <t>b.</t>
    </r>
    <r>
      <rPr>
        <sz val="7"/>
        <color rgb="FF1F497D"/>
        <rFont val="Times New Roman"/>
        <family val="1"/>
      </rPr>
      <t>      </t>
    </r>
    <r>
      <rPr>
        <sz val="11"/>
        <color rgb="FF1F497D"/>
        <rFont val="Calibri"/>
        <family val="2"/>
      </rPr>
      <t>For faculty, also assume academic merit increases equivalent to 1.78% of total faculty payroll per year.</t>
    </r>
  </si>
  <si>
    <r>
      <t>d.</t>
    </r>
    <r>
      <rPr>
        <sz val="7"/>
        <color rgb="FF1F497D"/>
        <rFont val="Times New Roman"/>
        <family val="1"/>
      </rPr>
      <t xml:space="preserve">       </t>
    </r>
    <r>
      <rPr>
        <sz val="11"/>
        <color rgb="FF1F497D"/>
        <rFont val="Calibri"/>
        <family val="2"/>
      </rPr>
      <t xml:space="preserve">Unless you have a program-specific projection on staff/faculty benefits rates, use the latest fringe benefits rates provided by the Office of Research at:  </t>
    </r>
  </si>
  <si>
    <t>https://research.uci.edu/sponsored-projects/employee-fringe-benefits/</t>
  </si>
  <si>
    <r>
      <t>g.</t>
    </r>
    <r>
      <rPr>
        <sz val="7"/>
        <color rgb="FF1F497D"/>
        <rFont val="Times New Roman"/>
        <family val="1"/>
      </rPr>
      <t xml:space="preserve">       </t>
    </r>
    <r>
      <rPr>
        <sz val="11"/>
        <color rgb="FF1F497D"/>
        <rFont val="Calibri"/>
        <family val="2"/>
      </rPr>
      <t>Assume annual 3% increases to Registrar, Graduate Division and OIT (if applicable) recharges.</t>
    </r>
  </si>
  <si>
    <t>Graduate Degree Program Budget Instructions and Planning Assumptions</t>
  </si>
  <si>
    <t>Assumptions/Comments</t>
  </si>
  <si>
    <t>Submit to UC Irvine Budget Office as early as possible in planning process (minimum of 6 Weeks before UCI Senate review, but preferably submit drafts much earlier)</t>
  </si>
  <si>
    <t>Total Program Enrollments</t>
  </si>
  <si>
    <t xml:space="preserve">Marketing </t>
  </si>
  <si>
    <t xml:space="preserve">Course Development </t>
  </si>
  <si>
    <r>
      <t>c.</t>
    </r>
    <r>
      <rPr>
        <sz val="7"/>
        <color rgb="FF1F497D"/>
        <rFont val="Times New Roman"/>
        <family val="1"/>
      </rPr>
      <t xml:space="preserve">       </t>
    </r>
    <r>
      <rPr>
        <sz val="11"/>
        <color rgb="FF1F497D"/>
        <rFont val="Calibri"/>
        <family val="2"/>
      </rPr>
      <t>Assume that employer contributions to UCRP increase from 14.5% in FY25 to 15.0% in FY26, and increase 0.5% each year thereafter.</t>
    </r>
  </si>
  <si>
    <r>
      <t>a.</t>
    </r>
    <r>
      <rPr>
        <sz val="7"/>
        <color rgb="FF1F497D"/>
        <rFont val="Times New Roman"/>
        <family val="1"/>
      </rPr>
      <t xml:space="preserve">       </t>
    </r>
    <r>
      <rPr>
        <sz val="11"/>
        <color rgb="FF1F497D"/>
        <rFont val="Calibri"/>
        <family val="2"/>
      </rPr>
      <t xml:space="preserve">Breakout each cohort between resident, non-resident, and international students. </t>
    </r>
  </si>
  <si>
    <t>Labor Expense</t>
  </si>
  <si>
    <t xml:space="preserve">Other Expense </t>
  </si>
  <si>
    <r>
      <t xml:space="preserve">b. </t>
    </r>
    <r>
      <rPr>
        <b/>
        <sz val="11"/>
        <color rgb="FF1F497D"/>
        <rFont val="Calibri"/>
        <family val="2"/>
      </rPr>
      <t>Other Expenses</t>
    </r>
    <r>
      <rPr>
        <sz val="11"/>
        <color rgb="FF1F497D"/>
        <rFont val="Calibri"/>
        <family val="2"/>
      </rPr>
      <t>. Please use this section to include other direct expenses (Ex. Marketing, Course Development, Events.)</t>
    </r>
  </si>
  <si>
    <r>
      <t>·</t>
    </r>
    <r>
      <rPr>
        <sz val="7"/>
        <color rgb="FF1F497D"/>
        <rFont val="Times New Roman"/>
        <family val="1"/>
      </rPr>
      <t xml:space="preserve">         </t>
    </r>
    <r>
      <rPr>
        <b/>
        <sz val="11"/>
        <color rgb="FF1F497D"/>
        <rFont val="Calibri"/>
        <family val="2"/>
      </rPr>
      <t>Planning Assumptions Future Year Projections</t>
    </r>
  </si>
  <si>
    <r>
      <t>·</t>
    </r>
    <r>
      <rPr>
        <sz val="7"/>
        <color rgb="FF1F497D"/>
        <rFont val="Times New Roman"/>
        <family val="1"/>
      </rPr>
      <t xml:space="preserve">         </t>
    </r>
    <r>
      <rPr>
        <b/>
        <sz val="11"/>
        <color rgb="FF1F497D"/>
        <rFont val="Calibri"/>
        <family val="2"/>
      </rPr>
      <t>Enrollments</t>
    </r>
    <r>
      <rPr>
        <sz val="11"/>
        <color rgb="FF1F497D"/>
        <rFont val="Calibri"/>
        <family val="2"/>
      </rPr>
      <t>*</t>
    </r>
  </si>
  <si>
    <r>
      <t>·</t>
    </r>
    <r>
      <rPr>
        <sz val="7"/>
        <color rgb="FF1F497D"/>
        <rFont val="Times New Roman"/>
        <family val="1"/>
      </rPr>
      <t xml:space="preserve">         </t>
    </r>
    <r>
      <rPr>
        <b/>
        <sz val="11"/>
        <color rgb="FF1F497D"/>
        <rFont val="Calibri"/>
        <family val="2"/>
      </rPr>
      <t>Program Direct Costs</t>
    </r>
  </si>
  <si>
    <t xml:space="preserve">Faculty Base Labor Salaries </t>
  </si>
  <si>
    <t>Faculty Labor Benefit Rate</t>
  </si>
  <si>
    <t>Staff Labor Benefit Rate</t>
  </si>
  <si>
    <t xml:space="preserve">Staff Base Labor Salaries </t>
  </si>
  <si>
    <t>Employee Fringe Benefits - UCI Office of Research</t>
  </si>
  <si>
    <t>Costing Policy &amp; Analysis (uci.edu)</t>
  </si>
  <si>
    <t>References/Resources:</t>
  </si>
  <si>
    <r>
      <t>b.</t>
    </r>
    <r>
      <rPr>
        <sz val="7"/>
        <color rgb="FF1F497D"/>
        <rFont val="Times New Roman"/>
        <family val="1"/>
      </rPr>
      <t xml:space="preserve">       </t>
    </r>
    <r>
      <rPr>
        <sz val="11"/>
        <color rgb="FF1F497D"/>
        <rFont val="Calibri"/>
        <family val="2"/>
      </rPr>
      <t>Total Program Enrollments - Enrollments will calculate when populating the incoming cohort section.</t>
    </r>
  </si>
  <si>
    <t xml:space="preserve">            c. The projected enrollments should reflect market research and/or historical performance to a similar program. Be prepared to justify projected enrollments.</t>
  </si>
  <si>
    <t>(Please note: Budget Office is estimating an impact to CBR of + 2.5% for FY25 and 1.2% for FY26.)</t>
  </si>
  <si>
    <r>
      <t>e.</t>
    </r>
    <r>
      <rPr>
        <sz val="7"/>
        <color rgb="FF1F497D"/>
        <rFont val="Times New Roman"/>
        <family val="1"/>
      </rPr>
      <t xml:space="preserve">       </t>
    </r>
    <r>
      <rPr>
        <sz val="11"/>
        <color rgb="FF1F497D"/>
        <rFont val="Calibri"/>
        <family val="2"/>
      </rPr>
      <t>Assume that other non-salary price increases will be 4.5% of current costs each year unless there are known increases for specific expense items.</t>
    </r>
  </si>
  <si>
    <r>
      <t>f.</t>
    </r>
    <r>
      <rPr>
        <sz val="7"/>
        <color rgb="FF1F497D"/>
        <rFont val="Times New Roman"/>
        <family val="1"/>
      </rPr>
      <t xml:space="preserve">        </t>
    </r>
    <r>
      <rPr>
        <sz val="11"/>
        <color rgb="FF1F497D"/>
        <rFont val="Calibri"/>
        <family val="2"/>
      </rPr>
      <t xml:space="preserve">For TA fee remission </t>
    </r>
    <r>
      <rPr>
        <b/>
        <i/>
        <sz val="11"/>
        <color rgb="FF1F497D"/>
        <rFont val="Calibri"/>
        <family val="2"/>
      </rPr>
      <t>planning purposes</t>
    </r>
    <r>
      <rPr>
        <sz val="11"/>
        <color rgb="FF1F497D"/>
        <rFont val="Calibri"/>
        <family val="2"/>
      </rPr>
      <t>, assume annual increases of 4.05% for UC Tuition and 5% for UC Student Services Fee.</t>
    </r>
  </si>
  <si>
    <t>Total Cost</t>
  </si>
  <si>
    <t xml:space="preserve"> Source Amounts</t>
  </si>
  <si>
    <r>
      <t>a.</t>
    </r>
    <r>
      <rPr>
        <sz val="7"/>
        <color rgb="FF1F497D"/>
        <rFont val="Times New Roman"/>
        <family val="1"/>
      </rPr>
      <t xml:space="preserve">       </t>
    </r>
    <r>
      <rPr>
        <sz val="11"/>
        <color rgb="FF1F497D"/>
        <rFont val="Calibri"/>
        <family val="2"/>
        <scheme val="minor"/>
      </rPr>
      <t>Calculat</t>
    </r>
    <r>
      <rPr>
        <sz val="11"/>
        <color rgb="FF1F497D"/>
        <rFont val="Calibri"/>
        <family val="2"/>
      </rPr>
      <t xml:space="preserve">e program source that is needed. (Example Campus start up funds, Grant Funding) Please project specific to your program. </t>
    </r>
  </si>
  <si>
    <t xml:space="preserve">b. Must be able to justify/back up projection with Market Research and any historical Revenue for a comparable program. </t>
  </si>
  <si>
    <r>
      <t>·</t>
    </r>
    <r>
      <rPr>
        <sz val="7"/>
        <color rgb="FF1F497D"/>
        <rFont val="Times New Roman"/>
        <family val="1"/>
      </rPr>
      <t xml:space="preserve">         </t>
    </r>
    <r>
      <rPr>
        <sz val="11"/>
        <color rgb="FF1F497D"/>
        <rFont val="Calibri"/>
        <family val="2"/>
      </rPr>
      <t xml:space="preserve">2025-26 New Program Budget and Proposal for each program must be accompanied by a memo (one per school) from the Dean. </t>
    </r>
  </si>
  <si>
    <t>New Program Budget Timeline and Expectations</t>
  </si>
  <si>
    <r>
      <t>a.</t>
    </r>
    <r>
      <rPr>
        <sz val="7"/>
        <color rgb="FF1F497D"/>
        <rFont val="Times New Roman"/>
        <family val="1"/>
      </rPr>
      <t>   </t>
    </r>
    <r>
      <rPr>
        <sz val="11"/>
        <color rgb="FF1F497D"/>
        <rFont val="Calibri"/>
        <family val="2"/>
      </rPr>
      <t> Labor Expense-</t>
    </r>
    <r>
      <rPr>
        <b/>
        <sz val="11"/>
        <color rgb="FF1F497D"/>
        <rFont val="Calibri"/>
        <family val="2"/>
      </rPr>
      <t>(1) Base Labor Salaries</t>
    </r>
    <r>
      <rPr>
        <sz val="11"/>
        <color rgb="FF1F497D"/>
        <rFont val="Calibri"/>
        <family val="2"/>
      </rPr>
      <t xml:space="preserve"> - Enter in the total labor : (for staff enter into Cell C20, for faculty enter into Cell C22) on the "Funding Model" tab. The out years will be calculated with the appropriate increase. In the comment section please identify the breakout for what the labor expense includes. </t>
    </r>
  </si>
  <si>
    <r>
      <rPr>
        <b/>
        <sz val="11"/>
        <color rgb="FF1F497D"/>
        <rFont val="Calibri"/>
        <family val="2"/>
      </rPr>
      <t>(2) Labor Benefit Rate -</t>
    </r>
    <r>
      <rPr>
        <sz val="11"/>
        <color rgb="FF1F497D"/>
        <rFont val="Calibri"/>
        <family val="2"/>
      </rPr>
      <t xml:space="preserve"> Enter Benefit Rate in on the "Funding Model tab (For Staff enter into Cell C21, For Faculty enter into cell C22). The out years will be calculated with the appropriate increase. In the comment section please identify the breakout for what the labor expense includes.</t>
    </r>
  </si>
  <si>
    <t>Example: Project Scientist CBR (FY20) 45.70%+ 7.0% (vacation leave accrual) + .77% UCRP interest assessment = Benefit Rate of 53.47%</t>
  </si>
  <si>
    <t>For Employees with Full Benefits</t>
  </si>
  <si>
    <t>Faculty</t>
  </si>
  <si>
    <t xml:space="preserve"> </t>
  </si>
  <si>
    <t>Other Academic</t>
  </si>
  <si>
    <t>Post Doc</t>
  </si>
  <si>
    <t>HCOMP Faculty/Physician (MSP)/Nurse/Law Faculty/Police</t>
  </si>
  <si>
    <t>Staff Exempt</t>
  </si>
  <si>
    <t>Staff Non-Exempt</t>
  </si>
  <si>
    <t>Food-Custodian-Grounds-Building Maintenance Workers</t>
  </si>
  <si>
    <t>For Employees with Less than Full Benefits and Students</t>
  </si>
  <si>
    <t>Faculty Summer Salary</t>
  </si>
  <si>
    <t>Students and Employees with No Eligibility</t>
  </si>
  <si>
    <t>Partial Benefit Eligibility</t>
  </si>
  <si>
    <t>Vacation Leave Accruals</t>
  </si>
  <si>
    <t>Vacation leave accruals are excluded from the Composite Benefit Rate and should be assessed on all fund sources according to the table below:</t>
  </si>
  <si>
    <t>Vacation Accrual Rates</t>
  </si>
  <si>
    <t xml:space="preserve">Fiscal Year Faculty </t>
  </si>
  <si>
    <t xml:space="preserve">Accruing Staff &amp; Non-Faculty Academics </t>
  </si>
  <si>
    <t>Example: Project Scientist CBR (FY20) 45.70% + 7.0% (Accruing Staff and Non Faculty Academics) = Benefit rate of 52.70%</t>
  </si>
  <si>
    <t>FY22</t>
  </si>
  <si>
    <t>FY23</t>
  </si>
  <si>
    <t>FY24</t>
  </si>
  <si>
    <t>FY25</t>
  </si>
  <si>
    <t>FY26</t>
  </si>
  <si>
    <t>FY27</t>
  </si>
  <si>
    <t>FY28</t>
  </si>
  <si>
    <t>UCRP Interest Assessment (for non-federal sources only):</t>
  </si>
  <si>
    <t>The University of California Retirement Plan (UCRP) interest assessment is excluded from the Composite Benefit Rate and should be assessed on all non-federal fund sources according to the following table:</t>
  </si>
  <si>
    <t>Fiscal Year</t>
  </si>
  <si>
    <t>UCRP Assessment Rates</t>
  </si>
  <si>
    <t>2019-2020</t>
  </si>
  <si>
    <t>2020-2021</t>
  </si>
  <si>
    <t>2021-2022</t>
  </si>
  <si>
    <t>2022-2023</t>
  </si>
  <si>
    <t>2023-2024</t>
  </si>
  <si>
    <t>Faculty Rate</t>
  </si>
  <si>
    <t>Staff Rate (Non-exempt)</t>
  </si>
  <si>
    <t>Staff Rate (exempt)</t>
  </si>
  <si>
    <t xml:space="preserve">Benefit Rates Resources </t>
  </si>
  <si>
    <t>Composite Rate Assumptions</t>
  </si>
  <si>
    <t xml:space="preserve">Non-Accruing Staff &amp; Academic Year Faculty </t>
  </si>
  <si>
    <t>Additional Budget office Assumptions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</si>
</sst>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44" formatCode="_(&quot;$&quot;* #,##0.00_);_(&quot;$&quot;* \(#,##0.00\);_(&quot;$&quot;* &quot;-&quot;??_);_(@_)"/>
    <numFmt numFmtId="164" formatCode="_(&quot;$&quot;* #,##0_);_(&quot;$&quot;* \(#,##0\);_(&quot;$&quot;* &quot;-&quot;??_);_(@_)"/>
    <numFmt numFmtId="165" formatCode="0.000"/>
    <numFmt numFmtId="166"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1"/>
      <color rgb="FF3F3F76"/>
      <name val="Calibri"/>
      <family val="2"/>
      <scheme val="minor"/>
    </font>
    <font>
      <i/>
      <sz val="11"/>
      <color theme="1"/>
      <name val="Calibri"/>
      <family val="2"/>
      <scheme val="minor"/>
    </font>
    <font>
      <i/>
      <sz val="10"/>
      <color theme="1"/>
      <name val="Calibri"/>
      <family val="2"/>
      <scheme val="minor"/>
    </font>
    <font>
      <b/>
      <sz val="11"/>
      <name val="Calibri"/>
      <family val="2"/>
      <scheme val="minor"/>
    </font>
    <font>
      <b/>
      <sz val="14"/>
      <color theme="1"/>
      <name val="Calibri"/>
      <family val="2"/>
      <scheme val="minor"/>
    </font>
    <font>
      <u/>
      <sz val="11"/>
      <color theme="10"/>
      <name val="Calibri"/>
      <family val="2"/>
      <scheme val="minor"/>
    </font>
    <font>
      <sz val="12"/>
      <name val="Arial"/>
      <family val="2"/>
    </font>
    <font>
      <b/>
      <sz val="11"/>
      <color rgb="FF1F497D"/>
      <name val="Calibri"/>
      <family val="2"/>
    </font>
    <font>
      <sz val="11"/>
      <color rgb="FF1F497D"/>
      <name val="Calibri"/>
      <family val="2"/>
    </font>
    <font>
      <sz val="11"/>
      <color rgb="FF1F497D"/>
      <name val="Symbol"/>
      <family val="1"/>
      <charset val="2"/>
    </font>
    <font>
      <sz val="7"/>
      <color rgb="FF1F497D"/>
      <name val="Times New Roman"/>
      <family val="1"/>
    </font>
    <font>
      <sz val="11"/>
      <name val="Calibri"/>
      <family val="2"/>
    </font>
    <font>
      <u/>
      <sz val="11"/>
      <color theme="10"/>
      <name val="Calibri"/>
      <family val="2"/>
    </font>
    <font>
      <b/>
      <i/>
      <sz val="11"/>
      <color rgb="FF1F497D"/>
      <name val="Calibri"/>
      <family val="2"/>
    </font>
    <font>
      <sz val="11"/>
      <color rgb="FF1F497D"/>
      <name val="Calibri"/>
      <family val="2"/>
      <scheme val="minor"/>
    </font>
    <font>
      <b/>
      <sz val="11"/>
      <color rgb="FF1F497D"/>
      <name val="Calibri Light"/>
      <family val="2"/>
      <scheme val="major"/>
    </font>
    <font>
      <sz val="12"/>
      <color theme="1"/>
      <name val="Calibri"/>
      <family val="2"/>
      <scheme val="minor"/>
    </font>
    <font>
      <b/>
      <sz val="12"/>
      <color theme="1"/>
      <name val="Calibri"/>
      <family val="2"/>
      <scheme val="minor"/>
    </font>
    <font>
      <u/>
      <sz val="12"/>
      <color theme="10"/>
      <name val="Calibri"/>
      <family val="2"/>
      <scheme val="minor"/>
    </font>
    <font>
      <sz val="9"/>
      <color indexed="81"/>
      <name val="Tahoma"/>
      <charset val="1"/>
    </font>
  </fonts>
  <fills count="17">
    <fill>
      <patternFill patternType="none"/>
    </fill>
    <fill>
      <patternFill patternType="gray125"/>
    </fill>
    <fill>
      <patternFill patternType="solid">
        <fgColor rgb="FFFFCC99"/>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00B0F0"/>
        <bgColor indexed="64"/>
      </patternFill>
    </fill>
    <fill>
      <patternFill patternType="solid">
        <fgColor rgb="FFD8BEEC"/>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4" tint="0.39997558519241921"/>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style="medium">
        <color auto="1"/>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5" fillId="2" borderId="1" applyNumberFormat="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0"/>
  </cellStyleXfs>
  <cellXfs count="154">
    <xf numFmtId="0" fontId="0" fillId="0" borderId="0" xfId="0"/>
    <xf numFmtId="0" fontId="2" fillId="0" borderId="0" xfId="0" applyFont="1"/>
    <xf numFmtId="0" fontId="3" fillId="0" borderId="0" xfId="0" applyFont="1"/>
    <xf numFmtId="164" fontId="0" fillId="0" borderId="0" xfId="1" applyNumberFormat="1" applyFont="1"/>
    <xf numFmtId="164" fontId="0" fillId="0" borderId="0" xfId="1" applyNumberFormat="1" applyFont="1" applyAlignment="1">
      <alignment horizontal="center"/>
    </xf>
    <xf numFmtId="0" fontId="4" fillId="0" borderId="0" xfId="0" applyFont="1"/>
    <xf numFmtId="164" fontId="0" fillId="0" borderId="0" xfId="1" applyNumberFormat="1" applyFont="1" applyFill="1"/>
    <xf numFmtId="164" fontId="0" fillId="0" borderId="0" xfId="0" applyNumberFormat="1"/>
    <xf numFmtId="0" fontId="0" fillId="0" borderId="2" xfId="0" applyBorder="1"/>
    <xf numFmtId="164" fontId="2" fillId="0" borderId="2" xfId="0" applyNumberFormat="1" applyFont="1" applyBorder="1"/>
    <xf numFmtId="0" fontId="2" fillId="0" borderId="2" xfId="0" applyFont="1" applyBorder="1"/>
    <xf numFmtId="0" fontId="2" fillId="0" borderId="3"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0" fontId="2" fillId="3" borderId="0" xfId="0" applyFont="1" applyFill="1"/>
    <xf numFmtId="164" fontId="2" fillId="3" borderId="0" xfId="0" applyNumberFormat="1" applyFont="1" applyFill="1"/>
    <xf numFmtId="164" fontId="2" fillId="0" borderId="2" xfId="1" applyNumberFormat="1" applyFont="1" applyFill="1" applyBorder="1" applyAlignment="1">
      <alignment horizontal="center"/>
    </xf>
    <xf numFmtId="164" fontId="2" fillId="0" borderId="2" xfId="1" applyNumberFormat="1" applyFont="1" applyFill="1" applyBorder="1"/>
    <xf numFmtId="0" fontId="6" fillId="0" borderId="0" xfId="0" applyFont="1"/>
    <xf numFmtId="164" fontId="6" fillId="0" borderId="0" xfId="0" applyNumberFormat="1" applyFont="1"/>
    <xf numFmtId="0" fontId="7" fillId="0" borderId="0" xfId="0" applyFont="1"/>
    <xf numFmtId="0" fontId="0" fillId="4" borderId="0" xfId="0" applyFill="1"/>
    <xf numFmtId="164" fontId="0" fillId="5" borderId="0" xfId="1" applyNumberFormat="1" applyFont="1" applyFill="1" applyAlignment="1">
      <alignment horizontal="center"/>
    </xf>
    <xf numFmtId="0" fontId="3" fillId="5" borderId="0" xfId="0" applyFont="1" applyFill="1"/>
    <xf numFmtId="0" fontId="0" fillId="5" borderId="0" xfId="0" applyFill="1"/>
    <xf numFmtId="164" fontId="0" fillId="4" borderId="5" xfId="1" applyNumberFormat="1" applyFont="1" applyFill="1" applyBorder="1"/>
    <xf numFmtId="164" fontId="0" fillId="5" borderId="4" xfId="1" applyNumberFormat="1" applyFont="1" applyFill="1" applyBorder="1"/>
    <xf numFmtId="164" fontId="0" fillId="4" borderId="5" xfId="1" applyNumberFormat="1" applyFont="1" applyFill="1" applyBorder="1" applyAlignment="1">
      <alignment horizontal="center"/>
    </xf>
    <xf numFmtId="164" fontId="0" fillId="5" borderId="4" xfId="1" applyNumberFormat="1" applyFont="1" applyFill="1" applyBorder="1" applyAlignment="1">
      <alignment horizontal="center"/>
    </xf>
    <xf numFmtId="0" fontId="0" fillId="4" borderId="5" xfId="0" applyFill="1" applyBorder="1"/>
    <xf numFmtId="0" fontId="0" fillId="4" borderId="4" xfId="0" applyFill="1" applyBorder="1"/>
    <xf numFmtId="44" fontId="0" fillId="4" borderId="0" xfId="0" applyNumberFormat="1" applyFill="1"/>
    <xf numFmtId="164" fontId="0" fillId="4" borderId="6" xfId="1" applyNumberFormat="1" applyFont="1" applyFill="1" applyBorder="1" applyAlignment="1">
      <alignment horizontal="center"/>
    </xf>
    <xf numFmtId="0" fontId="0" fillId="4" borderId="7" xfId="0" applyFill="1" applyBorder="1"/>
    <xf numFmtId="0" fontId="8" fillId="6" borderId="2" xfId="2" applyFont="1" applyFill="1" applyBorder="1"/>
    <xf numFmtId="44" fontId="0" fillId="0" borderId="0" xfId="0" applyNumberFormat="1"/>
    <xf numFmtId="42" fontId="0" fillId="4" borderId="5" xfId="1" applyNumberFormat="1" applyFont="1" applyFill="1" applyBorder="1"/>
    <xf numFmtId="165" fontId="0" fillId="0" borderId="8" xfId="0" applyNumberFormat="1" applyBorder="1"/>
    <xf numFmtId="165" fontId="0" fillId="0" borderId="0" xfId="0" applyNumberFormat="1"/>
    <xf numFmtId="164" fontId="0" fillId="4" borderId="4" xfId="1" applyNumberFormat="1" applyFont="1" applyFill="1" applyBorder="1"/>
    <xf numFmtId="8" fontId="0" fillId="4" borderId="0" xfId="0" applyNumberFormat="1" applyFill="1"/>
    <xf numFmtId="164" fontId="0" fillId="4" borderId="0" xfId="0" applyNumberFormat="1" applyFill="1"/>
    <xf numFmtId="8" fontId="0" fillId="0" borderId="0" xfId="0" applyNumberFormat="1"/>
    <xf numFmtId="44" fontId="6" fillId="0" borderId="0" xfId="0" applyNumberFormat="1" applyFont="1"/>
    <xf numFmtId="0" fontId="0" fillId="4" borderId="9" xfId="0" applyFill="1" applyBorder="1"/>
    <xf numFmtId="0" fontId="0" fillId="4" borderId="10" xfId="0" applyFill="1" applyBorder="1"/>
    <xf numFmtId="0" fontId="0" fillId="4" borderId="11" xfId="0" applyFill="1" applyBorder="1"/>
    <xf numFmtId="0" fontId="8" fillId="0" borderId="0" xfId="2" applyFont="1" applyFill="1" applyBorder="1"/>
    <xf numFmtId="164" fontId="0" fillId="4" borderId="0" xfId="1" applyNumberFormat="1" applyFont="1" applyFill="1" applyAlignment="1">
      <alignment horizontal="center"/>
    </xf>
    <xf numFmtId="164" fontId="0" fillId="4" borderId="0" xfId="1" applyNumberFormat="1" applyFont="1" applyFill="1" applyBorder="1" applyAlignment="1">
      <alignment horizontal="center"/>
    </xf>
    <xf numFmtId="166" fontId="0" fillId="4" borderId="0" xfId="3" applyNumberFormat="1" applyFont="1" applyFill="1" applyBorder="1"/>
    <xf numFmtId="44" fontId="0" fillId="4" borderId="3" xfId="0" applyNumberFormat="1" applyFill="1" applyBorder="1"/>
    <xf numFmtId="164" fontId="0" fillId="7" borderId="0" xfId="1" applyNumberFormat="1" applyFont="1" applyFill="1"/>
    <xf numFmtId="164" fontId="0" fillId="7" borderId="5" xfId="1" applyNumberFormat="1" applyFont="1" applyFill="1" applyBorder="1"/>
    <xf numFmtId="0" fontId="6" fillId="7" borderId="0" xfId="0" applyFont="1" applyFill="1"/>
    <xf numFmtId="164" fontId="6" fillId="7" borderId="0" xfId="0" applyNumberFormat="1" applyFont="1" applyFill="1"/>
    <xf numFmtId="0" fontId="0" fillId="0" borderId="0" xfId="0" applyAlignment="1">
      <alignment horizontal="right"/>
    </xf>
    <xf numFmtId="0" fontId="9" fillId="0" borderId="0" xfId="0" applyFont="1"/>
    <xf numFmtId="0" fontId="12" fillId="0" borderId="0" xfId="5" applyFont="1" applyAlignment="1">
      <alignment vertical="center"/>
    </xf>
    <xf numFmtId="0" fontId="11" fillId="0" borderId="0" xfId="5"/>
    <xf numFmtId="0" fontId="13" fillId="0" borderId="0" xfId="5" applyFont="1" applyAlignment="1">
      <alignment vertical="center"/>
    </xf>
    <xf numFmtId="0" fontId="14" fillId="0" borderId="0" xfId="5" applyFont="1" applyAlignment="1">
      <alignment horizontal="left" vertical="center" indent="4"/>
    </xf>
    <xf numFmtId="0" fontId="13" fillId="0" borderId="0" xfId="5" applyFont="1" applyAlignment="1">
      <alignment horizontal="left" vertical="center" indent="4"/>
    </xf>
    <xf numFmtId="0" fontId="16" fillId="0" borderId="0" xfId="0" applyFont="1" applyAlignment="1">
      <alignment horizontal="left" vertical="center" indent="1"/>
    </xf>
    <xf numFmtId="0" fontId="13" fillId="0" borderId="0" xfId="5" applyFont="1" applyAlignment="1">
      <alignment horizontal="left" vertical="center" indent="8"/>
    </xf>
    <xf numFmtId="0" fontId="16" fillId="0" borderId="0" xfId="5" applyFont="1" applyAlignment="1">
      <alignment horizontal="left" vertical="center" indent="1"/>
    </xf>
    <xf numFmtId="0" fontId="10" fillId="0" borderId="0" xfId="4" applyAlignment="1">
      <alignment horizontal="left" vertical="center" indent="1"/>
    </xf>
    <xf numFmtId="0" fontId="17" fillId="0" borderId="0" xfId="4" applyFont="1" applyFill="1" applyAlignment="1">
      <alignment horizontal="left" vertical="center" indent="8"/>
    </xf>
    <xf numFmtId="0" fontId="10" fillId="0" borderId="0" xfId="4" applyAlignment="1">
      <alignment vertical="center"/>
    </xf>
    <xf numFmtId="0" fontId="2" fillId="0" borderId="12" xfId="0" applyFont="1" applyBorder="1"/>
    <xf numFmtId="0" fontId="2" fillId="0" borderId="13" xfId="0" applyFont="1" applyBorder="1"/>
    <xf numFmtId="0" fontId="2" fillId="0" borderId="14" xfId="0" applyFont="1" applyBorder="1"/>
    <xf numFmtId="0" fontId="0" fillId="8" borderId="15" xfId="0" applyFill="1" applyBorder="1"/>
    <xf numFmtId="0" fontId="0" fillId="8" borderId="2" xfId="0" applyFill="1" applyBorder="1"/>
    <xf numFmtId="0" fontId="0" fillId="8" borderId="16" xfId="0" applyFill="1" applyBorder="1"/>
    <xf numFmtId="0" fontId="0" fillId="8" borderId="17" xfId="0" applyFill="1" applyBorder="1"/>
    <xf numFmtId="0" fontId="0" fillId="8" borderId="0" xfId="0" applyFill="1"/>
    <xf numFmtId="0" fontId="0" fillId="8" borderId="18" xfId="0" applyFill="1" applyBorder="1"/>
    <xf numFmtId="0" fontId="8" fillId="8" borderId="17" xfId="2" applyFont="1" applyFill="1" applyBorder="1"/>
    <xf numFmtId="0" fontId="8" fillId="8" borderId="0" xfId="2" applyFont="1" applyFill="1" applyBorder="1"/>
    <xf numFmtId="0" fontId="8" fillId="8" borderId="18" xfId="2" applyFont="1" applyFill="1" applyBorder="1"/>
    <xf numFmtId="0" fontId="2" fillId="8" borderId="17" xfId="0" applyFont="1" applyFill="1" applyBorder="1"/>
    <xf numFmtId="0" fontId="2" fillId="8" borderId="0" xfId="0" applyFont="1" applyFill="1"/>
    <xf numFmtId="0" fontId="2" fillId="8" borderId="18" xfId="0" applyFont="1" applyFill="1" applyBorder="1"/>
    <xf numFmtId="165" fontId="0" fillId="8" borderId="8" xfId="0" applyNumberFormat="1" applyFill="1" applyBorder="1"/>
    <xf numFmtId="165" fontId="0" fillId="8" borderId="0" xfId="0" applyNumberFormat="1" applyFill="1"/>
    <xf numFmtId="44" fontId="0" fillId="8" borderId="0" xfId="0" applyNumberFormat="1" applyFill="1"/>
    <xf numFmtId="164" fontId="0" fillId="8" borderId="0" xfId="0" applyNumberFormat="1" applyFill="1"/>
    <xf numFmtId="164" fontId="0" fillId="8" borderId="18" xfId="0" applyNumberFormat="1" applyFill="1" applyBorder="1"/>
    <xf numFmtId="0" fontId="6" fillId="8" borderId="17" xfId="0" applyFont="1" applyFill="1" applyBorder="1"/>
    <xf numFmtId="0" fontId="6" fillId="8" borderId="0" xfId="0" applyFont="1" applyFill="1"/>
    <xf numFmtId="0" fontId="6" fillId="8" borderId="18" xfId="0" applyFont="1" applyFill="1" applyBorder="1"/>
    <xf numFmtId="164" fontId="6" fillId="8" borderId="17" xfId="0" applyNumberFormat="1" applyFont="1" applyFill="1" applyBorder="1"/>
    <xf numFmtId="44" fontId="6" fillId="8" borderId="0" xfId="0" applyNumberFormat="1" applyFont="1" applyFill="1"/>
    <xf numFmtId="164" fontId="6" fillId="8" borderId="19" xfId="0" applyNumberFormat="1" applyFont="1" applyFill="1" applyBorder="1"/>
    <xf numFmtId="44" fontId="6" fillId="8" borderId="3" xfId="0" applyNumberFormat="1" applyFont="1" applyFill="1" applyBorder="1"/>
    <xf numFmtId="0" fontId="6" fillId="8" borderId="3" xfId="0" applyFont="1" applyFill="1" applyBorder="1"/>
    <xf numFmtId="0" fontId="6" fillId="8" borderId="20" xfId="0" applyFont="1" applyFill="1" applyBorder="1"/>
    <xf numFmtId="0" fontId="14" fillId="10" borderId="0" xfId="5" applyFont="1" applyFill="1" applyAlignment="1">
      <alignment horizontal="left" vertical="center" indent="4"/>
    </xf>
    <xf numFmtId="164" fontId="2" fillId="0" borderId="0" xfId="0" applyNumberFormat="1" applyFont="1"/>
    <xf numFmtId="0" fontId="20" fillId="0" borderId="0" xfId="5" applyFont="1" applyAlignment="1">
      <alignment horizontal="left" vertical="center" indent="4"/>
    </xf>
    <xf numFmtId="0" fontId="10" fillId="0" borderId="0" xfId="4" applyBorder="1" applyAlignment="1">
      <alignment vertical="center"/>
    </xf>
    <xf numFmtId="0" fontId="8" fillId="11" borderId="2" xfId="2" applyFont="1" applyFill="1" applyBorder="1"/>
    <xf numFmtId="0" fontId="2" fillId="11" borderId="2" xfId="0" applyFont="1" applyFill="1" applyBorder="1"/>
    <xf numFmtId="164" fontId="2" fillId="11" borderId="2" xfId="0" applyNumberFormat="1" applyFont="1" applyFill="1" applyBorder="1"/>
    <xf numFmtId="164" fontId="2" fillId="12" borderId="2" xfId="1" applyNumberFormat="1" applyFont="1" applyFill="1" applyBorder="1"/>
    <xf numFmtId="164" fontId="0" fillId="0" borderId="5" xfId="1" applyNumberFormat="1" applyFont="1" applyFill="1" applyBorder="1"/>
    <xf numFmtId="164" fontId="0" fillId="0" borderId="9" xfId="1" applyNumberFormat="1" applyFont="1" applyFill="1" applyBorder="1"/>
    <xf numFmtId="0" fontId="0" fillId="8" borderId="5" xfId="0" applyFill="1" applyBorder="1"/>
    <xf numFmtId="0" fontId="0" fillId="8" borderId="9" xfId="0" applyFill="1" applyBorder="1"/>
    <xf numFmtId="0" fontId="0" fillId="8" borderId="7" xfId="0" applyFill="1" applyBorder="1"/>
    <xf numFmtId="0" fontId="0" fillId="8" borderId="10" xfId="0" applyFill="1" applyBorder="1"/>
    <xf numFmtId="0" fontId="0" fillId="8" borderId="4" xfId="0" applyFill="1" applyBorder="1"/>
    <xf numFmtId="0" fontId="0" fillId="8" borderId="11" xfId="0" applyFill="1" applyBorder="1"/>
    <xf numFmtId="164" fontId="0" fillId="8" borderId="5" xfId="1" applyNumberFormat="1" applyFont="1" applyFill="1" applyBorder="1"/>
    <xf numFmtId="0" fontId="0" fillId="0" borderId="5" xfId="0" applyBorder="1"/>
    <xf numFmtId="0" fontId="0" fillId="0" borderId="4" xfId="0" applyBorder="1"/>
    <xf numFmtId="164" fontId="0" fillId="8" borderId="9" xfId="1" applyNumberFormat="1" applyFont="1" applyFill="1" applyBorder="1"/>
    <xf numFmtId="164" fontId="0" fillId="0" borderId="4" xfId="1" applyNumberFormat="1" applyFont="1" applyFill="1" applyBorder="1"/>
    <xf numFmtId="164" fontId="0" fillId="0" borderId="11" xfId="1" applyNumberFormat="1" applyFont="1" applyFill="1" applyBorder="1"/>
    <xf numFmtId="164" fontId="0" fillId="8" borderId="0" xfId="1" applyNumberFormat="1" applyFont="1" applyFill="1" applyAlignment="1">
      <alignment horizontal="center"/>
    </xf>
    <xf numFmtId="164" fontId="0" fillId="8" borderId="0" xfId="1" applyNumberFormat="1" applyFont="1" applyFill="1" applyBorder="1" applyAlignment="1">
      <alignment horizontal="center"/>
    </xf>
    <xf numFmtId="166" fontId="0" fillId="8" borderId="0" xfId="3" applyNumberFormat="1" applyFont="1" applyFill="1" applyBorder="1"/>
    <xf numFmtId="44" fontId="0" fillId="8" borderId="3" xfId="0" applyNumberFormat="1" applyFill="1" applyBorder="1"/>
    <xf numFmtId="0" fontId="2" fillId="13" borderId="0" xfId="0" applyFont="1" applyFill="1"/>
    <xf numFmtId="164" fontId="2" fillId="13" borderId="0" xfId="0" applyNumberFormat="1" applyFont="1" applyFill="1"/>
    <xf numFmtId="164" fontId="0" fillId="0" borderId="6" xfId="1" applyNumberFormat="1" applyFont="1" applyFill="1" applyBorder="1" applyAlignment="1">
      <alignment horizontal="center"/>
    </xf>
    <xf numFmtId="164" fontId="0" fillId="0" borderId="5" xfId="1" applyNumberFormat="1" applyFont="1" applyFill="1" applyBorder="1" applyAlignment="1">
      <alignment horizontal="center"/>
    </xf>
    <xf numFmtId="164" fontId="0" fillId="0" borderId="4" xfId="1" applyNumberFormat="1" applyFont="1" applyFill="1" applyBorder="1" applyAlignment="1">
      <alignment horizontal="center"/>
    </xf>
    <xf numFmtId="164" fontId="0" fillId="0" borderId="0" xfId="1" applyNumberFormat="1" applyFont="1" applyFill="1" applyAlignment="1">
      <alignment horizontal="center"/>
    </xf>
    <xf numFmtId="42" fontId="0" fillId="0" borderId="5" xfId="1" applyNumberFormat="1" applyFont="1" applyFill="1" applyBorder="1"/>
    <xf numFmtId="42" fontId="0" fillId="0" borderId="9" xfId="1" applyNumberFormat="1" applyFont="1" applyFill="1" applyBorder="1"/>
    <xf numFmtId="0" fontId="6" fillId="13" borderId="0" xfId="0" applyFont="1" applyFill="1"/>
    <xf numFmtId="164" fontId="6" fillId="13" borderId="0" xfId="0" applyNumberFormat="1" applyFont="1" applyFill="1"/>
    <xf numFmtId="0" fontId="12" fillId="0" borderId="0" xfId="5" applyFont="1" applyAlignment="1">
      <alignment horizontal="left" vertical="center" indent="4"/>
    </xf>
    <xf numFmtId="0" fontId="10" fillId="0" borderId="0" xfId="4"/>
    <xf numFmtId="10" fontId="0" fillId="0" borderId="0" xfId="0" applyNumberFormat="1"/>
    <xf numFmtId="0" fontId="0" fillId="0" borderId="0" xfId="0" applyAlignment="1">
      <alignment vertical="center" wrapText="1"/>
    </xf>
    <xf numFmtId="0" fontId="2" fillId="0" borderId="0" xfId="0" applyFont="1" applyAlignment="1">
      <alignment horizontal="center" vertical="center" wrapText="1"/>
    </xf>
    <xf numFmtId="10" fontId="0" fillId="0" borderId="0" xfId="0" applyNumberFormat="1" applyAlignment="1">
      <alignment vertical="center" wrapText="1"/>
    </xf>
    <xf numFmtId="0" fontId="21" fillId="8" borderId="0" xfId="0" applyFont="1" applyFill="1"/>
    <xf numFmtId="0" fontId="0" fillId="8" borderId="0" xfId="0" applyFill="1" applyAlignment="1">
      <alignment vertical="center"/>
    </xf>
    <xf numFmtId="0" fontId="22" fillId="15" borderId="0" xfId="0" applyFont="1" applyFill="1"/>
    <xf numFmtId="0" fontId="23" fillId="0" borderId="0" xfId="4" applyFont="1"/>
    <xf numFmtId="0" fontId="21" fillId="0" borderId="0" xfId="0" applyFont="1"/>
    <xf numFmtId="0" fontId="0" fillId="16" borderId="0" xfId="0" applyFill="1"/>
    <xf numFmtId="10" fontId="0" fillId="16" borderId="0" xfId="0" applyNumberFormat="1" applyFill="1"/>
    <xf numFmtId="0" fontId="0" fillId="14" borderId="0" xfId="0" applyFill="1"/>
    <xf numFmtId="0" fontId="9" fillId="0" borderId="0" xfId="0" applyFont="1" applyAlignment="1">
      <alignment horizontal="center"/>
    </xf>
    <xf numFmtId="0" fontId="0" fillId="0" borderId="0" xfId="0" applyAlignment="1">
      <alignment horizontal="center"/>
    </xf>
    <xf numFmtId="0" fontId="2" fillId="9" borderId="0" xfId="0" quotePrefix="1" applyFont="1" applyFill="1" applyAlignment="1">
      <alignment horizontal="left" vertical="top" wrapText="1"/>
    </xf>
    <xf numFmtId="0" fontId="0" fillId="0" borderId="0" xfId="0" quotePrefix="1" applyAlignment="1">
      <alignment horizontal="left" wrapText="1"/>
    </xf>
    <xf numFmtId="0" fontId="2" fillId="0" borderId="0" xfId="0" applyFont="1" applyAlignment="1">
      <alignment vertical="center" wrapText="1"/>
    </xf>
    <xf numFmtId="165" fontId="0" fillId="4" borderId="5" xfId="0" applyNumberFormat="1" applyFill="1" applyBorder="1"/>
  </cellXfs>
  <cellStyles count="6">
    <cellStyle name="Currency" xfId="1" builtinId="4"/>
    <cellStyle name="Hyperlink" xfId="4" builtinId="8"/>
    <cellStyle name="Input" xfId="2" builtinId="20"/>
    <cellStyle name="Normal" xfId="0" builtinId="0"/>
    <cellStyle name="Normal 4" xfId="5" xr:uid="{506A4D00-CF0E-4F38-99E6-5E4A31A814C8}"/>
    <cellStyle name="Percent" xfId="3" builtinId="5"/>
  </cellStyles>
  <dxfs count="0"/>
  <tableStyles count="0" defaultTableStyle="TableStyleMedium2" defaultPivotStyle="PivotStyleLight16"/>
  <colors>
    <mruColors>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njali Mathuria" id="{15B277CC-A351-47CB-B760-6B6880A66084}" userId="S::mathuri1@ad.uci.edu::4c1d4430-6fa7-4e7f-b084-cc7a23f9d23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 dT="2024-01-19T19:08:44.67" personId="{15B277CC-A351-47CB-B760-6B6880A66084}" id="{E3A46BF2-CDD0-4A40-8627-81486D145C4A}">
    <text>Please update program cost descriptions specific to your program</text>
  </threadedComment>
  <threadedComment ref="C20" dT="2024-01-19T19:18:00.67" personId="{15B277CC-A351-47CB-B760-6B6880A66084}" id="{7AF4A088-9BFB-497E-BF90-A2090FDB094B}">
    <text xml:space="preserve">Put total base labor here , it will calculate year over year with annual increase.  In the assumptions/comments column please specify details on labor. </text>
  </threadedComment>
  <threadedComment ref="C21" dT="2024-01-27T00:21:12.23" personId="{15B277CC-A351-47CB-B760-6B6880A66084}" id="{B0013B70-01D7-47B8-9F6E-91028DEFEC6B}">
    <text xml:space="preserve">Refer to Benefit Rate Resource Tab for reference to input the rates appropriate  to faculty labor. Adjust as needed.
</text>
  </threadedComment>
  <threadedComment ref="C22" dT="2024-01-19T19:18:00.67" personId="{15B277CC-A351-47CB-B760-6B6880A66084}" id="{C38B397C-ADAD-4D0A-B76D-B10976DD993C}">
    <text xml:space="preserve">Put total base labor here , it will calculate year over year with annual increase.  In the assumptions/comments column please specify details on labor. </text>
  </threadedComment>
  <threadedComment ref="C23" dT="2024-01-27T00:20:22.79" personId="{15B277CC-A351-47CB-B760-6B6880A66084}" id="{1EA06ECD-5CE7-443B-9BC7-97894B6E7483}">
    <text>Refer to Benefit Rate Resource Tab for reference to input the rates appropriate to staff labor. Adjust as needed.</text>
  </threadedComment>
  <threadedComment ref="E25" dT="2024-01-29T19:04:29.82" personId="{15B277CC-A351-47CB-B760-6B6880A66084}" id="{AAD82EAA-3C28-4F9E-8E8E-BB5369AFB2B3}">
    <text xml:space="preserve">Enter Expense for other expense here. Out years will calculate to account for inflation.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ccounting.uci.edu/cost-analysis/index.html" TargetMode="External"/><Relationship Id="rId2" Type="http://schemas.openxmlformats.org/officeDocument/2006/relationships/hyperlink" Target="https://research.uci.edu/sponsored-projects/employee-fringe-benefits/" TargetMode="External"/><Relationship Id="rId1" Type="http://schemas.openxmlformats.org/officeDocument/2006/relationships/hyperlink" Target="https://research.uci.edu/sponsored-projects/employee-fringe-benefits/" TargetMode="External"/><Relationship Id="rId4" Type="http://schemas.openxmlformats.org/officeDocument/2006/relationships/hyperlink" Target="https://budgetoffice.uci.edu/new-programs/index.php"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research.uci.edu/sponsored-projects/employee-fringe-benefit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E945-8D24-4257-9292-0DED5520A799}">
  <sheetPr>
    <tabColor theme="8" tint="0.79998168889431442"/>
    <pageSetUpPr fitToPage="1"/>
  </sheetPr>
  <dimension ref="A1:S71"/>
  <sheetViews>
    <sheetView tabSelected="1" zoomScale="83" zoomScaleNormal="83" workbookViewId="0">
      <pane xSplit="3" ySplit="4" topLeftCell="D5" activePane="bottomRight" state="frozen"/>
      <selection pane="topRight" activeCell="D1" sqref="D1"/>
      <selection pane="bottomLeft" activeCell="A4" sqref="A4"/>
      <selection pane="bottomRight" activeCell="B69" sqref="B69:L69"/>
    </sheetView>
  </sheetViews>
  <sheetFormatPr defaultColWidth="8.85546875" defaultRowHeight="15" x14ac:dyDescent="0.25"/>
  <cols>
    <col min="1" max="1" width="2.7109375" customWidth="1"/>
    <col min="2" max="2" width="41.28515625" bestFit="1" customWidth="1"/>
    <col min="3" max="3" width="12.28515625" bestFit="1" customWidth="1"/>
    <col min="4" max="4" width="2.28515625" customWidth="1"/>
    <col min="5" max="5" width="12.28515625" bestFit="1" customWidth="1"/>
    <col min="6" max="6" width="11.42578125" bestFit="1" customWidth="1"/>
    <col min="7" max="7" width="12.140625" customWidth="1"/>
    <col min="8" max="12" width="12.42578125" bestFit="1" customWidth="1"/>
    <col min="13" max="13" width="16.42578125" customWidth="1"/>
    <col min="14" max="14" width="12.42578125" bestFit="1" customWidth="1"/>
    <col min="15" max="16" width="10" bestFit="1" customWidth="1"/>
  </cols>
  <sheetData>
    <row r="1" spans="1:19" ht="18.75" x14ac:dyDescent="0.3">
      <c r="A1" s="57" t="s">
        <v>62</v>
      </c>
      <c r="K1" s="56" t="s">
        <v>60</v>
      </c>
      <c r="L1" s="56" t="s">
        <v>61</v>
      </c>
    </row>
    <row r="2" spans="1:19" x14ac:dyDescent="0.25">
      <c r="A2" s="18" t="s">
        <v>71</v>
      </c>
    </row>
    <row r="3" spans="1:19" ht="19.5" thickBot="1" x14ac:dyDescent="0.35">
      <c r="A3" s="148"/>
      <c r="B3" s="148"/>
      <c r="J3" s="13"/>
      <c r="K3" s="13" t="s">
        <v>26</v>
      </c>
      <c r="L3" s="13"/>
    </row>
    <row r="4" spans="1:19" ht="15.75" thickBot="1" x14ac:dyDescent="0.3">
      <c r="A4" s="20" t="s">
        <v>34</v>
      </c>
      <c r="C4" s="12"/>
      <c r="D4" s="12"/>
      <c r="E4" s="11" t="s">
        <v>2</v>
      </c>
      <c r="F4" s="11" t="s">
        <v>3</v>
      </c>
      <c r="G4" s="11" t="s">
        <v>4</v>
      </c>
      <c r="H4" s="11" t="s">
        <v>5</v>
      </c>
      <c r="I4" s="11" t="s">
        <v>6</v>
      </c>
      <c r="J4" s="11" t="s">
        <v>7</v>
      </c>
      <c r="K4" s="11" t="s">
        <v>8</v>
      </c>
      <c r="L4" s="11" t="s">
        <v>27</v>
      </c>
      <c r="M4" s="69" t="s">
        <v>70</v>
      </c>
      <c r="N4" s="70"/>
      <c r="O4" s="70"/>
      <c r="P4" s="71"/>
    </row>
    <row r="5" spans="1:19" x14ac:dyDescent="0.25">
      <c r="M5" s="72"/>
      <c r="N5" s="73"/>
      <c r="O5" s="73"/>
      <c r="P5" s="74"/>
    </row>
    <row r="6" spans="1:19" x14ac:dyDescent="0.25">
      <c r="A6" s="2" t="s">
        <v>1</v>
      </c>
      <c r="M6" s="75"/>
      <c r="N6" s="76"/>
      <c r="O6" s="76"/>
      <c r="P6" s="77"/>
    </row>
    <row r="7" spans="1:19" x14ac:dyDescent="0.25">
      <c r="B7" t="s">
        <v>37</v>
      </c>
      <c r="E7" s="108"/>
      <c r="F7" s="108"/>
      <c r="G7" s="108"/>
      <c r="H7" s="108"/>
      <c r="I7" s="108"/>
      <c r="J7" s="108"/>
      <c r="K7" s="108"/>
      <c r="L7" s="109"/>
      <c r="M7" s="75"/>
      <c r="N7" s="76"/>
      <c r="O7" s="76"/>
      <c r="P7" s="77"/>
    </row>
    <row r="8" spans="1:19" x14ac:dyDescent="0.25">
      <c r="B8" t="s">
        <v>38</v>
      </c>
      <c r="E8" s="110"/>
      <c r="F8" s="110"/>
      <c r="G8" s="110"/>
      <c r="H8" s="110"/>
      <c r="I8" s="110"/>
      <c r="J8" s="110"/>
      <c r="K8" s="110"/>
      <c r="L8" s="111"/>
      <c r="M8" s="75"/>
      <c r="N8" s="76"/>
      <c r="O8" s="76"/>
      <c r="P8" s="77"/>
    </row>
    <row r="9" spans="1:19" ht="15.75" thickBot="1" x14ac:dyDescent="0.3">
      <c r="B9" t="s">
        <v>9</v>
      </c>
      <c r="E9" s="112"/>
      <c r="F9" s="112"/>
      <c r="G9" s="112"/>
      <c r="H9" s="112"/>
      <c r="I9" s="112"/>
      <c r="J9" s="112"/>
      <c r="K9" s="112"/>
      <c r="L9" s="113"/>
      <c r="M9" s="75"/>
      <c r="N9" s="76"/>
      <c r="O9" s="76"/>
      <c r="P9" s="77"/>
    </row>
    <row r="10" spans="1:19" x14ac:dyDescent="0.25">
      <c r="B10" s="10" t="s">
        <v>28</v>
      </c>
      <c r="C10" s="10"/>
      <c r="D10" s="10"/>
      <c r="E10" s="102">
        <f>SUM(E7:E9)</f>
        <v>0</v>
      </c>
      <c r="F10" s="102">
        <f t="shared" ref="F10:L10" si="0">SUM(F7:F9)</f>
        <v>0</v>
      </c>
      <c r="G10" s="102">
        <f t="shared" si="0"/>
        <v>0</v>
      </c>
      <c r="H10" s="102">
        <f t="shared" si="0"/>
        <v>0</v>
      </c>
      <c r="I10" s="102">
        <f t="shared" si="0"/>
        <v>0</v>
      </c>
      <c r="J10" s="102">
        <f t="shared" si="0"/>
        <v>0</v>
      </c>
      <c r="K10" s="102">
        <f t="shared" si="0"/>
        <v>0</v>
      </c>
      <c r="L10" s="102">
        <f t="shared" si="0"/>
        <v>0</v>
      </c>
      <c r="M10" s="78"/>
      <c r="N10" s="79"/>
      <c r="O10" s="79"/>
      <c r="P10" s="80"/>
    </row>
    <row r="11" spans="1:19" x14ac:dyDescent="0.25">
      <c r="M11" s="75"/>
      <c r="N11" s="76"/>
      <c r="O11" s="76"/>
      <c r="P11" s="77"/>
    </row>
    <row r="12" spans="1:19" x14ac:dyDescent="0.25">
      <c r="A12" s="2" t="s">
        <v>72</v>
      </c>
      <c r="M12" s="75"/>
      <c r="N12" s="76"/>
      <c r="O12" s="76"/>
      <c r="P12" s="77"/>
    </row>
    <row r="13" spans="1:19" x14ac:dyDescent="0.25">
      <c r="B13" t="s">
        <v>37</v>
      </c>
      <c r="E13">
        <f>E7</f>
        <v>0</v>
      </c>
      <c r="F13">
        <f>E13+F7+E14</f>
        <v>0</v>
      </c>
      <c r="G13">
        <f>F13+G7+F14</f>
        <v>0</v>
      </c>
      <c r="H13">
        <f>G13+H7+G14</f>
        <v>0</v>
      </c>
      <c r="I13">
        <f>H13+I7+H14</f>
        <v>0</v>
      </c>
      <c r="J13">
        <f>I13+J7+I14</f>
        <v>0</v>
      </c>
      <c r="K13">
        <f>(J13+K7+J14)-(E7+E8)</f>
        <v>0</v>
      </c>
      <c r="L13">
        <f>(K13+L7+K14)-(F7+F8)</f>
        <v>0</v>
      </c>
      <c r="M13" s="75"/>
      <c r="N13" s="76"/>
      <c r="O13" s="76"/>
      <c r="P13" s="77"/>
      <c r="S13" s="136"/>
    </row>
    <row r="14" spans="1:19" x14ac:dyDescent="0.25">
      <c r="B14" t="s">
        <v>39</v>
      </c>
      <c r="E14">
        <f>E8</f>
        <v>0</v>
      </c>
      <c r="F14">
        <f t="shared" ref="F14:L14" si="1">F8</f>
        <v>0</v>
      </c>
      <c r="G14">
        <f t="shared" si="1"/>
        <v>0</v>
      </c>
      <c r="H14">
        <f t="shared" si="1"/>
        <v>0</v>
      </c>
      <c r="I14">
        <f t="shared" si="1"/>
        <v>0</v>
      </c>
      <c r="J14">
        <f t="shared" si="1"/>
        <v>0</v>
      </c>
      <c r="K14">
        <f t="shared" si="1"/>
        <v>0</v>
      </c>
      <c r="L14">
        <f t="shared" si="1"/>
        <v>0</v>
      </c>
      <c r="M14" s="75"/>
      <c r="N14" s="76"/>
      <c r="O14" s="76"/>
      <c r="P14" s="77"/>
      <c r="S14" s="136"/>
    </row>
    <row r="15" spans="1:19" ht="15.75" thickBot="1" x14ac:dyDescent="0.3">
      <c r="B15" t="s">
        <v>9</v>
      </c>
      <c r="C15" s="1"/>
      <c r="D15" s="1"/>
      <c r="E15">
        <f>E9</f>
        <v>0</v>
      </c>
      <c r="F15">
        <f>E15+F9</f>
        <v>0</v>
      </c>
      <c r="G15">
        <f>F15+G9</f>
        <v>0</v>
      </c>
      <c r="H15">
        <f>G15+H9</f>
        <v>0</v>
      </c>
      <c r="I15">
        <f>H15+I9</f>
        <v>0</v>
      </c>
      <c r="J15">
        <f>I15+J9</f>
        <v>0</v>
      </c>
      <c r="K15">
        <f>J15+K9-E9</f>
        <v>0</v>
      </c>
      <c r="L15">
        <f>K15+L9-F9</f>
        <v>0</v>
      </c>
      <c r="M15" s="75"/>
      <c r="N15" s="76"/>
      <c r="O15" s="76"/>
      <c r="P15" s="77"/>
    </row>
    <row r="16" spans="1:19" x14ac:dyDescent="0.25">
      <c r="B16" s="10" t="s">
        <v>10</v>
      </c>
      <c r="C16" s="8"/>
      <c r="D16" s="8"/>
      <c r="E16" s="103">
        <f t="shared" ref="E16:L16" si="2">SUM(E13:E15)</f>
        <v>0</v>
      </c>
      <c r="F16" s="103">
        <f t="shared" si="2"/>
        <v>0</v>
      </c>
      <c r="G16" s="103">
        <f t="shared" si="2"/>
        <v>0</v>
      </c>
      <c r="H16" s="103">
        <f t="shared" si="2"/>
        <v>0</v>
      </c>
      <c r="I16" s="103">
        <f t="shared" si="2"/>
        <v>0</v>
      </c>
      <c r="J16" s="103">
        <f t="shared" si="2"/>
        <v>0</v>
      </c>
      <c r="K16" s="103">
        <f t="shared" si="2"/>
        <v>0</v>
      </c>
      <c r="L16" s="103">
        <f t="shared" si="2"/>
        <v>0</v>
      </c>
      <c r="M16" s="81"/>
      <c r="N16" s="82"/>
      <c r="O16" s="82"/>
      <c r="P16" s="83"/>
    </row>
    <row r="17" spans="1:16" x14ac:dyDescent="0.25">
      <c r="M17" s="75"/>
      <c r="N17" s="76"/>
      <c r="O17" s="76"/>
      <c r="P17" s="77"/>
    </row>
    <row r="18" spans="1:16" x14ac:dyDescent="0.25">
      <c r="A18" s="2" t="s">
        <v>17</v>
      </c>
      <c r="M18" s="75"/>
      <c r="N18" s="76"/>
      <c r="O18" s="76"/>
      <c r="P18" s="77"/>
    </row>
    <row r="19" spans="1:16" x14ac:dyDescent="0.25">
      <c r="A19" s="2"/>
      <c r="B19" s="1" t="s">
        <v>77</v>
      </c>
      <c r="C19" s="115"/>
      <c r="E19" s="106"/>
      <c r="F19" s="106"/>
      <c r="G19" s="106"/>
      <c r="H19" s="106"/>
      <c r="I19" s="106"/>
      <c r="J19" s="106"/>
      <c r="K19" s="106"/>
      <c r="L19" s="107"/>
      <c r="M19" s="75"/>
      <c r="N19" s="76"/>
      <c r="O19" s="76"/>
      <c r="P19" s="77"/>
    </row>
    <row r="20" spans="1:16" x14ac:dyDescent="0.25">
      <c r="A20" s="2"/>
      <c r="B20" t="s">
        <v>83</v>
      </c>
      <c r="C20" s="114">
        <v>0</v>
      </c>
      <c r="E20" s="106">
        <f>C20</f>
        <v>0</v>
      </c>
      <c r="F20" s="106">
        <f>(E20*(4.2%+1.78%))+E20</f>
        <v>0</v>
      </c>
      <c r="G20" s="106">
        <f t="shared" ref="G20:L20" si="3">(F20*(4.2%+1.78%))+F20</f>
        <v>0</v>
      </c>
      <c r="H20" s="106">
        <f t="shared" si="3"/>
        <v>0</v>
      </c>
      <c r="I20" s="106">
        <f t="shared" si="3"/>
        <v>0</v>
      </c>
      <c r="J20" s="106">
        <f t="shared" si="3"/>
        <v>0</v>
      </c>
      <c r="K20" s="106">
        <f t="shared" si="3"/>
        <v>0</v>
      </c>
      <c r="L20" s="106">
        <f t="shared" si="3"/>
        <v>0</v>
      </c>
      <c r="M20" s="75"/>
      <c r="N20" s="84"/>
      <c r="O20" s="85"/>
      <c r="P20" s="77"/>
    </row>
    <row r="21" spans="1:16" x14ac:dyDescent="0.25">
      <c r="A21" s="2"/>
      <c r="B21" t="s">
        <v>84</v>
      </c>
      <c r="C21" s="153">
        <f>'Benefit Rates Resources'!B45+'Benefit Rates Resources'!D45</f>
        <v>0.42630000000000001</v>
      </c>
      <c r="E21" s="106">
        <f>E20*($C$21+(0.0006%*1))</f>
        <v>0</v>
      </c>
      <c r="F21" s="106">
        <f t="shared" ref="F21:L21" si="4">F20*($C$21+(0.0006%*1))</f>
        <v>0</v>
      </c>
      <c r="G21" s="106">
        <f t="shared" si="4"/>
        <v>0</v>
      </c>
      <c r="H21" s="106">
        <f t="shared" si="4"/>
        <v>0</v>
      </c>
      <c r="I21" s="106">
        <f t="shared" si="4"/>
        <v>0</v>
      </c>
      <c r="J21" s="106">
        <f t="shared" si="4"/>
        <v>0</v>
      </c>
      <c r="K21" s="106">
        <f t="shared" si="4"/>
        <v>0</v>
      </c>
      <c r="L21" s="106">
        <f t="shared" si="4"/>
        <v>0</v>
      </c>
      <c r="M21" s="75"/>
      <c r="N21" s="76"/>
      <c r="O21" s="86"/>
      <c r="P21" s="77"/>
    </row>
    <row r="22" spans="1:16" x14ac:dyDescent="0.25">
      <c r="A22" s="2"/>
      <c r="B22" t="s">
        <v>86</v>
      </c>
      <c r="C22" s="114">
        <v>0</v>
      </c>
      <c r="E22" s="106">
        <f>C22</f>
        <v>0</v>
      </c>
      <c r="F22" s="106">
        <f>(E22*4.2%)+E22</f>
        <v>0</v>
      </c>
      <c r="G22" s="106">
        <f t="shared" ref="G22:L22" si="5">(F22*4.2%)+F22</f>
        <v>0</v>
      </c>
      <c r="H22" s="106">
        <f>(G22*4.2%)+G22</f>
        <v>0</v>
      </c>
      <c r="I22" s="106">
        <f>(H22*4.2%)+H22</f>
        <v>0</v>
      </c>
      <c r="J22" s="106">
        <f t="shared" si="5"/>
        <v>0</v>
      </c>
      <c r="K22" s="106">
        <f t="shared" si="5"/>
        <v>0</v>
      </c>
      <c r="L22" s="106">
        <f t="shared" si="5"/>
        <v>0</v>
      </c>
      <c r="M22" s="75"/>
      <c r="N22" s="84"/>
      <c r="O22" s="85"/>
      <c r="P22" s="77"/>
    </row>
    <row r="23" spans="1:16" x14ac:dyDescent="0.25">
      <c r="A23" s="2"/>
      <c r="B23" t="s">
        <v>85</v>
      </c>
      <c r="C23" s="153">
        <f>'Benefit Rates Resources'!B46+'Benefit Rates Resources'!D47</f>
        <v>0.56530000000000002</v>
      </c>
      <c r="E23" s="106">
        <f>E22*($C$23+(0.0006%*1))</f>
        <v>0</v>
      </c>
      <c r="F23" s="106">
        <f t="shared" ref="F23:L23" si="6">F22*($C$23+(0.0006%*1))</f>
        <v>0</v>
      </c>
      <c r="G23" s="106">
        <f t="shared" si="6"/>
        <v>0</v>
      </c>
      <c r="H23" s="106">
        <f t="shared" si="6"/>
        <v>0</v>
      </c>
      <c r="I23" s="106">
        <f t="shared" si="6"/>
        <v>0</v>
      </c>
      <c r="J23" s="106">
        <f t="shared" si="6"/>
        <v>0</v>
      </c>
      <c r="K23" s="106">
        <f t="shared" si="6"/>
        <v>0</v>
      </c>
      <c r="L23" s="106">
        <f t="shared" si="6"/>
        <v>0</v>
      </c>
      <c r="M23" s="75"/>
      <c r="N23" s="76"/>
      <c r="O23" s="86"/>
      <c r="P23" s="77"/>
    </row>
    <row r="24" spans="1:16" x14ac:dyDescent="0.25">
      <c r="A24" s="2"/>
      <c r="B24" s="1" t="s">
        <v>78</v>
      </c>
      <c r="C24" s="115"/>
      <c r="E24" s="106"/>
      <c r="F24" s="106"/>
      <c r="G24" s="106"/>
      <c r="H24" s="106"/>
      <c r="I24" s="106"/>
      <c r="J24" s="106"/>
      <c r="K24" s="106"/>
      <c r="L24" s="107"/>
      <c r="M24" s="75"/>
      <c r="N24" s="76"/>
      <c r="O24" s="76"/>
      <c r="P24" s="77"/>
    </row>
    <row r="25" spans="1:16" x14ac:dyDescent="0.25">
      <c r="A25" s="2"/>
      <c r="B25" t="s">
        <v>35</v>
      </c>
      <c r="C25" s="115"/>
      <c r="E25" s="114">
        <v>0</v>
      </c>
      <c r="F25" s="106">
        <f>(E25*4.5%)+E25</f>
        <v>0</v>
      </c>
      <c r="G25" s="106">
        <f t="shared" ref="G25:L25" si="7">(F25*4.5%)+F25</f>
        <v>0</v>
      </c>
      <c r="H25" s="106">
        <f t="shared" si="7"/>
        <v>0</v>
      </c>
      <c r="I25" s="106">
        <f t="shared" si="7"/>
        <v>0</v>
      </c>
      <c r="J25" s="106">
        <f t="shared" si="7"/>
        <v>0</v>
      </c>
      <c r="K25" s="106">
        <f t="shared" si="7"/>
        <v>0</v>
      </c>
      <c r="L25" s="106">
        <f t="shared" si="7"/>
        <v>0</v>
      </c>
      <c r="M25" s="75"/>
      <c r="N25" s="76"/>
      <c r="O25" s="76"/>
      <c r="P25" s="77"/>
    </row>
    <row r="26" spans="1:16" x14ac:dyDescent="0.25">
      <c r="A26" s="2"/>
      <c r="B26" t="s">
        <v>74</v>
      </c>
      <c r="C26" s="115"/>
      <c r="E26" s="114">
        <v>0</v>
      </c>
      <c r="F26" s="106">
        <f>(E26*4.5%)+E26</f>
        <v>0</v>
      </c>
      <c r="G26" s="106">
        <f t="shared" ref="G26:L26" si="8">(F26*4.5%)+F26</f>
        <v>0</v>
      </c>
      <c r="H26" s="106">
        <f t="shared" si="8"/>
        <v>0</v>
      </c>
      <c r="I26" s="106">
        <f t="shared" si="8"/>
        <v>0</v>
      </c>
      <c r="J26" s="106">
        <f t="shared" si="8"/>
        <v>0</v>
      </c>
      <c r="K26" s="106">
        <f t="shared" si="8"/>
        <v>0</v>
      </c>
      <c r="L26" s="106">
        <f t="shared" si="8"/>
        <v>0</v>
      </c>
      <c r="M26" s="75"/>
      <c r="N26" s="76"/>
      <c r="O26" s="76"/>
      <c r="P26" s="77"/>
    </row>
    <row r="27" spans="1:16" x14ac:dyDescent="0.25">
      <c r="A27" s="2"/>
      <c r="B27" t="s">
        <v>73</v>
      </c>
      <c r="C27" s="115"/>
      <c r="E27" s="114">
        <v>0</v>
      </c>
      <c r="F27" s="106">
        <f>(E27*4.5%)+E27</f>
        <v>0</v>
      </c>
      <c r="G27" s="106">
        <f t="shared" ref="G27:L27" si="9">(F27*4.5%)+F27</f>
        <v>0</v>
      </c>
      <c r="H27" s="106">
        <f t="shared" si="9"/>
        <v>0</v>
      </c>
      <c r="I27" s="106">
        <f t="shared" si="9"/>
        <v>0</v>
      </c>
      <c r="J27" s="106">
        <f t="shared" si="9"/>
        <v>0</v>
      </c>
      <c r="K27" s="106">
        <f t="shared" si="9"/>
        <v>0</v>
      </c>
      <c r="L27" s="106">
        <f t="shared" si="9"/>
        <v>0</v>
      </c>
      <c r="M27" s="75"/>
      <c r="N27" s="76"/>
      <c r="O27" s="76"/>
      <c r="P27" s="77"/>
    </row>
    <row r="28" spans="1:16" x14ac:dyDescent="0.25">
      <c r="A28" s="2"/>
      <c r="C28" s="115"/>
      <c r="E28" s="106"/>
      <c r="F28" s="106"/>
      <c r="G28" s="106"/>
      <c r="H28" s="106"/>
      <c r="I28" s="106"/>
      <c r="J28" s="106"/>
      <c r="K28" s="106"/>
      <c r="L28" s="107"/>
      <c r="M28" s="75"/>
      <c r="N28" s="76"/>
      <c r="O28" s="76"/>
      <c r="P28" s="77"/>
    </row>
    <row r="29" spans="1:16" x14ac:dyDescent="0.25">
      <c r="A29" s="2"/>
      <c r="C29" s="115"/>
      <c r="E29" s="106"/>
      <c r="F29" s="106"/>
      <c r="G29" s="106"/>
      <c r="H29" s="106"/>
      <c r="I29" s="106"/>
      <c r="J29" s="106"/>
      <c r="K29" s="106"/>
      <c r="L29" s="107"/>
      <c r="M29" s="75"/>
      <c r="N29" s="76"/>
      <c r="O29" s="76"/>
      <c r="P29" s="77"/>
    </row>
    <row r="30" spans="1:16" ht="15.75" thickBot="1" x14ac:dyDescent="0.3">
      <c r="A30" s="2"/>
      <c r="C30" s="116"/>
      <c r="E30" s="118"/>
      <c r="F30" s="118"/>
      <c r="G30" s="118"/>
      <c r="H30" s="118"/>
      <c r="I30" s="118"/>
      <c r="J30" s="118"/>
      <c r="K30" s="118"/>
      <c r="L30" s="119"/>
      <c r="M30" s="75"/>
      <c r="N30" s="76"/>
      <c r="O30" s="76"/>
      <c r="P30" s="77"/>
    </row>
    <row r="31" spans="1:16" x14ac:dyDescent="0.25">
      <c r="B31" s="10" t="s">
        <v>18</v>
      </c>
      <c r="C31" s="8"/>
      <c r="D31" s="8"/>
      <c r="E31" s="104">
        <f t="shared" ref="E31:L31" si="10">SUM(E18:E30)</f>
        <v>0</v>
      </c>
      <c r="F31" s="104">
        <f t="shared" si="10"/>
        <v>0</v>
      </c>
      <c r="G31" s="104">
        <f t="shared" si="10"/>
        <v>0</v>
      </c>
      <c r="H31" s="104">
        <f t="shared" si="10"/>
        <v>0</v>
      </c>
      <c r="I31" s="104">
        <f t="shared" si="10"/>
        <v>0</v>
      </c>
      <c r="J31" s="104">
        <f t="shared" si="10"/>
        <v>0</v>
      </c>
      <c r="K31" s="104">
        <f t="shared" si="10"/>
        <v>0</v>
      </c>
      <c r="L31" s="104">
        <f t="shared" si="10"/>
        <v>0</v>
      </c>
      <c r="M31" s="75"/>
      <c r="N31" s="76"/>
      <c r="O31" s="76"/>
      <c r="P31" s="77"/>
    </row>
    <row r="32" spans="1:16" x14ac:dyDescent="0.25">
      <c r="B32" s="1"/>
      <c r="E32" s="99"/>
      <c r="F32" s="99"/>
      <c r="G32" s="99"/>
      <c r="H32" s="99"/>
      <c r="I32" s="99"/>
      <c r="J32" s="99"/>
      <c r="K32" s="99"/>
      <c r="L32" s="99"/>
      <c r="M32" s="75"/>
      <c r="N32" s="76"/>
      <c r="O32" s="76"/>
      <c r="P32" s="77"/>
    </row>
    <row r="33" spans="1:16" x14ac:dyDescent="0.25">
      <c r="A33" s="2" t="s">
        <v>19</v>
      </c>
      <c r="M33" s="75"/>
      <c r="N33" s="76"/>
      <c r="O33" s="76"/>
      <c r="P33" s="77"/>
    </row>
    <row r="34" spans="1:16" x14ac:dyDescent="0.25">
      <c r="C34" s="7"/>
      <c r="M34" s="75"/>
      <c r="N34" s="76"/>
      <c r="O34" s="76"/>
      <c r="P34" s="77"/>
    </row>
    <row r="35" spans="1:16" x14ac:dyDescent="0.25">
      <c r="B35" t="s">
        <v>12</v>
      </c>
      <c r="C35" s="120">
        <v>0</v>
      </c>
      <c r="D35" s="4"/>
      <c r="E35" s="6">
        <f>$C$35*E16</f>
        <v>0</v>
      </c>
      <c r="F35" s="6">
        <f t="shared" ref="F35:L35" si="11">$C$35*F16</f>
        <v>0</v>
      </c>
      <c r="G35" s="6">
        <f t="shared" si="11"/>
        <v>0</v>
      </c>
      <c r="H35" s="6">
        <f t="shared" si="11"/>
        <v>0</v>
      </c>
      <c r="I35" s="6">
        <f t="shared" si="11"/>
        <v>0</v>
      </c>
      <c r="J35" s="6">
        <f t="shared" si="11"/>
        <v>0</v>
      </c>
      <c r="K35" s="6">
        <f t="shared" si="11"/>
        <v>0</v>
      </c>
      <c r="L35" s="6">
        <f t="shared" si="11"/>
        <v>0</v>
      </c>
      <c r="M35" s="75"/>
      <c r="N35" s="76"/>
      <c r="O35" s="76"/>
      <c r="P35" s="77"/>
    </row>
    <row r="36" spans="1:16" x14ac:dyDescent="0.25">
      <c r="B36" t="s">
        <v>40</v>
      </c>
      <c r="C36" s="120">
        <v>0</v>
      </c>
      <c r="D36" s="4"/>
      <c r="E36" s="6">
        <f>(E14+E15)*$C$36</f>
        <v>0</v>
      </c>
      <c r="F36" s="6">
        <f t="shared" ref="F36:L36" si="12">(F14+F15)*$C$36</f>
        <v>0</v>
      </c>
      <c r="G36" s="6">
        <f t="shared" si="12"/>
        <v>0</v>
      </c>
      <c r="H36" s="6">
        <f t="shared" si="12"/>
        <v>0</v>
      </c>
      <c r="I36" s="6">
        <f t="shared" si="12"/>
        <v>0</v>
      </c>
      <c r="J36" s="6">
        <f t="shared" si="12"/>
        <v>0</v>
      </c>
      <c r="K36" s="6">
        <f t="shared" si="12"/>
        <v>0</v>
      </c>
      <c r="L36" s="6">
        <f t="shared" si="12"/>
        <v>0</v>
      </c>
      <c r="M36" s="75"/>
      <c r="N36" s="76"/>
      <c r="O36" s="76"/>
      <c r="P36" s="77"/>
    </row>
    <row r="37" spans="1:16" x14ac:dyDescent="0.25">
      <c r="B37" t="s">
        <v>32</v>
      </c>
      <c r="C37" s="120">
        <v>0</v>
      </c>
      <c r="D37" s="4"/>
      <c r="E37" s="6">
        <f t="shared" ref="E37:L37" si="13">$C$37*E16</f>
        <v>0</v>
      </c>
      <c r="F37" s="6">
        <f t="shared" si="13"/>
        <v>0</v>
      </c>
      <c r="G37" s="6">
        <f t="shared" si="13"/>
        <v>0</v>
      </c>
      <c r="H37" s="6">
        <f t="shared" si="13"/>
        <v>0</v>
      </c>
      <c r="I37" s="6">
        <f t="shared" si="13"/>
        <v>0</v>
      </c>
      <c r="J37" s="6">
        <f t="shared" si="13"/>
        <v>0</v>
      </c>
      <c r="K37" s="6">
        <f t="shared" si="13"/>
        <v>0</v>
      </c>
      <c r="L37" s="6">
        <f t="shared" si="13"/>
        <v>0</v>
      </c>
      <c r="M37" s="75"/>
      <c r="N37" s="76"/>
      <c r="O37" s="76"/>
      <c r="P37" s="77"/>
    </row>
    <row r="38" spans="1:16" x14ac:dyDescent="0.25">
      <c r="B38" t="s">
        <v>14</v>
      </c>
      <c r="C38" s="121">
        <v>0</v>
      </c>
      <c r="D38" s="4"/>
      <c r="E38" s="6">
        <f t="shared" ref="E38:L38" si="14">$C$38*E16</f>
        <v>0</v>
      </c>
      <c r="F38" s="6">
        <f t="shared" si="14"/>
        <v>0</v>
      </c>
      <c r="G38" s="6">
        <f t="shared" si="14"/>
        <v>0</v>
      </c>
      <c r="H38" s="6">
        <f t="shared" si="14"/>
        <v>0</v>
      </c>
      <c r="I38" s="6">
        <f t="shared" si="14"/>
        <v>0</v>
      </c>
      <c r="J38" s="6">
        <f t="shared" si="14"/>
        <v>0</v>
      </c>
      <c r="K38" s="6">
        <f t="shared" si="14"/>
        <v>0</v>
      </c>
      <c r="L38" s="6">
        <f t="shared" si="14"/>
        <v>0</v>
      </c>
      <c r="M38" s="75"/>
      <c r="N38" s="76"/>
      <c r="O38" s="76"/>
      <c r="P38" s="77"/>
    </row>
    <row r="39" spans="1:16" x14ac:dyDescent="0.25">
      <c r="B39" t="s">
        <v>47</v>
      </c>
      <c r="C39" s="86">
        <v>0</v>
      </c>
      <c r="D39" s="4"/>
      <c r="E39" s="6">
        <f t="shared" ref="E39:L39" si="15">E10*$C$39</f>
        <v>0</v>
      </c>
      <c r="F39" s="6">
        <f t="shared" si="15"/>
        <v>0</v>
      </c>
      <c r="G39" s="6">
        <f t="shared" si="15"/>
        <v>0</v>
      </c>
      <c r="H39" s="6">
        <f t="shared" si="15"/>
        <v>0</v>
      </c>
      <c r="I39" s="6">
        <f t="shared" si="15"/>
        <v>0</v>
      </c>
      <c r="J39" s="6">
        <f t="shared" si="15"/>
        <v>0</v>
      </c>
      <c r="K39" s="6">
        <f t="shared" si="15"/>
        <v>0</v>
      </c>
      <c r="L39" s="6">
        <f t="shared" si="15"/>
        <v>0</v>
      </c>
      <c r="M39" s="75"/>
      <c r="N39" s="76"/>
      <c r="O39" s="76"/>
      <c r="P39" s="77"/>
    </row>
    <row r="40" spans="1:16" x14ac:dyDescent="0.25">
      <c r="B40" t="s">
        <v>41</v>
      </c>
      <c r="C40" s="86">
        <v>0</v>
      </c>
      <c r="D40" s="4"/>
      <c r="E40" s="6">
        <f>(E16-E10)*$C$40</f>
        <v>0</v>
      </c>
      <c r="F40" s="6">
        <f t="shared" ref="F40:L40" si="16">(F16-F10)*$C$40</f>
        <v>0</v>
      </c>
      <c r="G40" s="6">
        <f t="shared" si="16"/>
        <v>0</v>
      </c>
      <c r="H40" s="6">
        <f t="shared" si="16"/>
        <v>0</v>
      </c>
      <c r="I40" s="6">
        <f t="shared" si="16"/>
        <v>0</v>
      </c>
      <c r="J40" s="6">
        <f t="shared" si="16"/>
        <v>0</v>
      </c>
      <c r="K40" s="6">
        <f t="shared" si="16"/>
        <v>0</v>
      </c>
      <c r="L40" s="6">
        <f t="shared" si="16"/>
        <v>0</v>
      </c>
      <c r="M40" s="75"/>
      <c r="N40" s="76"/>
      <c r="O40" s="76"/>
      <c r="P40" s="77"/>
    </row>
    <row r="41" spans="1:16" x14ac:dyDescent="0.25">
      <c r="B41" t="s">
        <v>51</v>
      </c>
      <c r="C41" s="122">
        <v>0</v>
      </c>
      <c r="D41" s="4"/>
      <c r="E41" s="6">
        <f t="shared" ref="E41:L41" si="17">$C$41*E40</f>
        <v>0</v>
      </c>
      <c r="F41" s="6">
        <f t="shared" si="17"/>
        <v>0</v>
      </c>
      <c r="G41" s="6">
        <f t="shared" si="17"/>
        <v>0</v>
      </c>
      <c r="H41" s="6">
        <f t="shared" si="17"/>
        <v>0</v>
      </c>
      <c r="I41" s="6">
        <f t="shared" si="17"/>
        <v>0</v>
      </c>
      <c r="J41" s="6">
        <f t="shared" si="17"/>
        <v>0</v>
      </c>
      <c r="K41" s="6">
        <f t="shared" si="17"/>
        <v>0</v>
      </c>
      <c r="L41" s="6">
        <f t="shared" si="17"/>
        <v>0</v>
      </c>
      <c r="M41" s="75"/>
      <c r="N41" s="76"/>
      <c r="O41" s="76"/>
      <c r="P41" s="77"/>
    </row>
    <row r="42" spans="1:16" ht="15.75" thickBot="1" x14ac:dyDescent="0.3">
      <c r="B42" t="s">
        <v>53</v>
      </c>
      <c r="C42" s="123">
        <v>0</v>
      </c>
      <c r="D42" s="4"/>
      <c r="E42" s="3">
        <v>0</v>
      </c>
      <c r="F42" s="3">
        <v>0</v>
      </c>
      <c r="G42" s="3">
        <v>0</v>
      </c>
      <c r="H42" s="3">
        <v>0</v>
      </c>
      <c r="I42" s="3">
        <v>0</v>
      </c>
      <c r="J42" s="3">
        <v>0</v>
      </c>
      <c r="K42" s="3">
        <v>0</v>
      </c>
      <c r="L42" s="3">
        <v>0</v>
      </c>
      <c r="M42" s="75"/>
      <c r="N42" s="76"/>
      <c r="O42" s="76"/>
      <c r="P42" s="77"/>
    </row>
    <row r="43" spans="1:16" s="1" customFormat="1" x14ac:dyDescent="0.25">
      <c r="B43" s="10" t="s">
        <v>20</v>
      </c>
      <c r="C43"/>
      <c r="D43" s="8"/>
      <c r="E43" s="104">
        <f t="shared" ref="E43:L43" si="18">SUM(E35:E42)</f>
        <v>0</v>
      </c>
      <c r="F43" s="104">
        <f t="shared" si="18"/>
        <v>0</v>
      </c>
      <c r="G43" s="104">
        <f t="shared" si="18"/>
        <v>0</v>
      </c>
      <c r="H43" s="104">
        <f t="shared" si="18"/>
        <v>0</v>
      </c>
      <c r="I43" s="104">
        <f t="shared" si="18"/>
        <v>0</v>
      </c>
      <c r="J43" s="104">
        <f t="shared" si="18"/>
        <v>0</v>
      </c>
      <c r="K43" s="104">
        <f t="shared" si="18"/>
        <v>0</v>
      </c>
      <c r="L43" s="104">
        <f t="shared" si="18"/>
        <v>0</v>
      </c>
      <c r="M43" s="81"/>
      <c r="N43" s="82"/>
      <c r="O43" s="82"/>
      <c r="P43" s="83"/>
    </row>
    <row r="44" spans="1:16" x14ac:dyDescent="0.25">
      <c r="M44" s="75"/>
      <c r="N44" s="76"/>
      <c r="O44" s="76"/>
      <c r="P44" s="77"/>
    </row>
    <row r="45" spans="1:16" x14ac:dyDescent="0.25">
      <c r="B45" s="124" t="s">
        <v>95</v>
      </c>
      <c r="C45" s="124"/>
      <c r="D45" s="124"/>
      <c r="E45" s="125">
        <f>E43+E31</f>
        <v>0</v>
      </c>
      <c r="F45" s="125">
        <f t="shared" ref="F45:L45" si="19">F43+F31</f>
        <v>0</v>
      </c>
      <c r="G45" s="125">
        <f t="shared" si="19"/>
        <v>0</v>
      </c>
      <c r="H45" s="125">
        <f t="shared" si="19"/>
        <v>0</v>
      </c>
      <c r="I45" s="125">
        <f t="shared" si="19"/>
        <v>0</v>
      </c>
      <c r="J45" s="125">
        <f t="shared" si="19"/>
        <v>0</v>
      </c>
      <c r="K45" s="125">
        <f t="shared" si="19"/>
        <v>0</v>
      </c>
      <c r="L45" s="125">
        <f t="shared" si="19"/>
        <v>0</v>
      </c>
      <c r="M45" s="75"/>
      <c r="N45" s="76"/>
      <c r="O45" s="76"/>
      <c r="P45" s="77"/>
    </row>
    <row r="46" spans="1:16" x14ac:dyDescent="0.25">
      <c r="B46" s="1"/>
      <c r="C46" s="1"/>
      <c r="D46" s="1"/>
      <c r="E46" s="99"/>
      <c r="F46" s="99"/>
      <c r="G46" s="99"/>
      <c r="H46" s="99"/>
      <c r="I46" s="99"/>
      <c r="J46" s="99"/>
      <c r="K46" s="99"/>
      <c r="L46" s="99"/>
      <c r="M46" s="75"/>
      <c r="N46" s="76"/>
      <c r="O46" s="76"/>
      <c r="P46" s="77"/>
    </row>
    <row r="47" spans="1:16" x14ac:dyDescent="0.25">
      <c r="A47" s="2" t="s">
        <v>11</v>
      </c>
      <c r="M47" s="75"/>
      <c r="N47" s="76"/>
      <c r="O47" s="76"/>
      <c r="P47" s="77"/>
    </row>
    <row r="48" spans="1:16" x14ac:dyDescent="0.25">
      <c r="A48" s="2"/>
      <c r="C48" s="5" t="s">
        <v>0</v>
      </c>
      <c r="D48" s="13"/>
      <c r="M48" s="75"/>
      <c r="N48" s="76"/>
      <c r="O48" s="76"/>
      <c r="P48" s="77"/>
    </row>
    <row r="49" spans="1:16" x14ac:dyDescent="0.25">
      <c r="A49" s="2"/>
      <c r="B49" t="s">
        <v>30</v>
      </c>
      <c r="C49" s="120">
        <v>0</v>
      </c>
      <c r="D49" s="4"/>
      <c r="E49" s="6">
        <f>E10*$C$49</f>
        <v>0</v>
      </c>
      <c r="F49" s="6">
        <f t="shared" ref="F49:L49" si="20">F10*$C$49</f>
        <v>0</v>
      </c>
      <c r="G49" s="6">
        <f t="shared" si="20"/>
        <v>0</v>
      </c>
      <c r="H49" s="6">
        <f t="shared" si="20"/>
        <v>0</v>
      </c>
      <c r="I49" s="6">
        <f t="shared" si="20"/>
        <v>0</v>
      </c>
      <c r="J49" s="6">
        <f t="shared" si="20"/>
        <v>0</v>
      </c>
      <c r="K49" s="6">
        <f t="shared" si="20"/>
        <v>0</v>
      </c>
      <c r="L49" s="6">
        <f t="shared" si="20"/>
        <v>0</v>
      </c>
      <c r="M49" s="75"/>
      <c r="N49" s="76"/>
      <c r="O49" s="76"/>
      <c r="P49" s="77"/>
    </row>
    <row r="50" spans="1:16" x14ac:dyDescent="0.25">
      <c r="A50" s="2"/>
      <c r="B50" t="s">
        <v>29</v>
      </c>
      <c r="C50" s="120">
        <v>0</v>
      </c>
      <c r="D50" s="4"/>
      <c r="E50" s="6">
        <v>0</v>
      </c>
      <c r="F50" s="6">
        <v>0</v>
      </c>
      <c r="G50" s="6">
        <v>0</v>
      </c>
      <c r="H50" s="6">
        <v>0</v>
      </c>
      <c r="I50" s="6">
        <v>0</v>
      </c>
      <c r="J50" s="6">
        <f>$C50*J16</f>
        <v>0</v>
      </c>
      <c r="K50" s="6">
        <f t="shared" ref="F50:L50" si="21">$C50*K16</f>
        <v>0</v>
      </c>
      <c r="L50" s="6">
        <f t="shared" si="21"/>
        <v>0</v>
      </c>
      <c r="M50" s="75"/>
      <c r="N50" s="76"/>
      <c r="O50" s="76"/>
      <c r="P50" s="77"/>
    </row>
    <row r="51" spans="1:16" x14ac:dyDescent="0.25">
      <c r="A51" s="2"/>
      <c r="B51" t="s">
        <v>44</v>
      </c>
      <c r="C51" s="120">
        <v>0</v>
      </c>
      <c r="D51" s="4"/>
      <c r="E51" s="6">
        <v>0</v>
      </c>
      <c r="F51" s="6">
        <v>0</v>
      </c>
      <c r="G51" s="6">
        <v>0</v>
      </c>
      <c r="H51" s="6">
        <v>0</v>
      </c>
      <c r="I51" s="6">
        <v>0</v>
      </c>
      <c r="J51" s="6">
        <v>0</v>
      </c>
      <c r="K51" s="6">
        <f>E10*$C$51</f>
        <v>0</v>
      </c>
      <c r="L51" s="6">
        <f>F10*$C$51</f>
        <v>0</v>
      </c>
      <c r="M51" s="75"/>
      <c r="N51" s="76"/>
      <c r="O51" s="76"/>
      <c r="P51" s="77"/>
    </row>
    <row r="52" spans="1:16" x14ac:dyDescent="0.25">
      <c r="A52" s="2"/>
      <c r="B52" t="s">
        <v>21</v>
      </c>
      <c r="C52" s="86">
        <v>0</v>
      </c>
      <c r="D52" s="4"/>
      <c r="E52" s="106">
        <f>$C$52*((E15+E14)-(E9+E8))</f>
        <v>0</v>
      </c>
      <c r="F52" s="106">
        <f t="shared" ref="F52:L52" si="22">$C$52*((F15+F14)-(F9+F8))</f>
        <v>0</v>
      </c>
      <c r="G52" s="106">
        <f t="shared" si="22"/>
        <v>0</v>
      </c>
      <c r="H52" s="106">
        <f t="shared" si="22"/>
        <v>0</v>
      </c>
      <c r="I52" s="106">
        <f t="shared" si="22"/>
        <v>0</v>
      </c>
      <c r="J52" s="106">
        <f t="shared" si="22"/>
        <v>0</v>
      </c>
      <c r="K52" s="106">
        <f t="shared" si="22"/>
        <v>0</v>
      </c>
      <c r="L52" s="106">
        <f t="shared" si="22"/>
        <v>0</v>
      </c>
      <c r="M52" s="75"/>
      <c r="N52" s="76"/>
      <c r="O52" s="76"/>
      <c r="P52" s="77"/>
    </row>
    <row r="53" spans="1:16" x14ac:dyDescent="0.25">
      <c r="A53" s="2"/>
      <c r="B53" t="s">
        <v>48</v>
      </c>
      <c r="C53" s="86">
        <v>0</v>
      </c>
      <c r="D53" s="4"/>
      <c r="E53" s="106">
        <f>(E16-E10)*$C$53</f>
        <v>0</v>
      </c>
      <c r="F53" s="106">
        <f t="shared" ref="F53:L53" si="23">(F16-F10)*$C$53</f>
        <v>0</v>
      </c>
      <c r="G53" s="106">
        <f t="shared" si="23"/>
        <v>0</v>
      </c>
      <c r="H53" s="106">
        <f t="shared" si="23"/>
        <v>0</v>
      </c>
      <c r="I53" s="106">
        <f t="shared" si="23"/>
        <v>0</v>
      </c>
      <c r="J53" s="106">
        <f t="shared" si="23"/>
        <v>0</v>
      </c>
      <c r="K53" s="106">
        <f t="shared" si="23"/>
        <v>0</v>
      </c>
      <c r="L53" s="106">
        <f t="shared" si="23"/>
        <v>0</v>
      </c>
      <c r="M53" s="75"/>
      <c r="N53" s="76"/>
      <c r="O53" s="76"/>
      <c r="P53" s="77"/>
    </row>
    <row r="54" spans="1:16" x14ac:dyDescent="0.25">
      <c r="A54" s="2"/>
      <c r="B54" t="s">
        <v>49</v>
      </c>
      <c r="C54" s="87">
        <f>C35+C37+C38</f>
        <v>0</v>
      </c>
      <c r="D54" s="4"/>
      <c r="E54" s="106">
        <f>($C$54)*(E16-E10)</f>
        <v>0</v>
      </c>
      <c r="F54" s="106">
        <f>($C$54)*(F16-F10)</f>
        <v>0</v>
      </c>
      <c r="G54" s="106">
        <f>($C$54)*(G16-G10)</f>
        <v>0</v>
      </c>
      <c r="H54" s="106">
        <f>($C$54)*(H16-H10)</f>
        <v>0</v>
      </c>
      <c r="I54" s="106">
        <f>($C$54)*(I16-I10)</f>
        <v>0</v>
      </c>
      <c r="J54" s="106">
        <f>($C$54)*(J16-J10)</f>
        <v>0</v>
      </c>
      <c r="K54" s="106">
        <f>($C$54)*(K16-K10)</f>
        <v>0</v>
      </c>
      <c r="L54" s="107">
        <f>($C$54)*(L16-L10)</f>
        <v>0</v>
      </c>
      <c r="M54" s="75"/>
      <c r="N54" s="76"/>
      <c r="O54" s="87"/>
      <c r="P54" s="88"/>
    </row>
    <row r="55" spans="1:16" x14ac:dyDescent="0.25">
      <c r="A55" s="2"/>
      <c r="B55" t="s">
        <v>24</v>
      </c>
      <c r="C55" s="126"/>
      <c r="D55" s="4"/>
      <c r="E55" s="114"/>
      <c r="F55" s="114"/>
      <c r="G55" s="114"/>
      <c r="H55" s="114"/>
      <c r="I55" s="114"/>
      <c r="J55" s="114"/>
      <c r="K55" s="114"/>
      <c r="L55" s="117"/>
      <c r="M55" s="75"/>
      <c r="N55" s="76"/>
      <c r="O55" s="76"/>
      <c r="P55" s="77"/>
    </row>
    <row r="56" spans="1:16" x14ac:dyDescent="0.25">
      <c r="A56" s="2"/>
      <c r="B56" t="s">
        <v>22</v>
      </c>
      <c r="C56" s="127"/>
      <c r="D56" s="4"/>
      <c r="E56" s="114"/>
      <c r="F56" s="114"/>
      <c r="G56" s="114"/>
      <c r="H56" s="114"/>
      <c r="I56" s="114"/>
      <c r="J56" s="114"/>
      <c r="K56" s="114"/>
      <c r="L56" s="117"/>
      <c r="M56" s="75"/>
      <c r="N56" s="76"/>
      <c r="O56" s="76"/>
      <c r="P56" s="77"/>
    </row>
    <row r="57" spans="1:16" x14ac:dyDescent="0.25">
      <c r="A57" s="2"/>
      <c r="B57" t="s">
        <v>23</v>
      </c>
      <c r="C57" s="127"/>
      <c r="D57" s="4"/>
      <c r="E57" s="114"/>
      <c r="F57" s="114"/>
      <c r="G57" s="114"/>
      <c r="H57" s="114"/>
      <c r="I57" s="114"/>
      <c r="J57" s="114"/>
      <c r="K57" s="114"/>
      <c r="L57" s="117"/>
      <c r="M57" s="75"/>
      <c r="N57" s="76"/>
      <c r="O57" s="76"/>
      <c r="P57" s="77"/>
    </row>
    <row r="58" spans="1:16" x14ac:dyDescent="0.25">
      <c r="A58" s="2"/>
      <c r="B58" t="s">
        <v>42</v>
      </c>
      <c r="C58" s="127"/>
      <c r="D58" s="4"/>
      <c r="E58" s="114"/>
      <c r="F58" s="114"/>
      <c r="G58" s="114"/>
      <c r="H58" s="114"/>
      <c r="I58" s="114"/>
      <c r="J58" s="114"/>
      <c r="K58" s="114"/>
      <c r="L58" s="117"/>
      <c r="M58" s="75"/>
      <c r="N58" s="76"/>
      <c r="O58" s="76"/>
      <c r="P58" s="77"/>
    </row>
    <row r="59" spans="1:16" x14ac:dyDescent="0.25">
      <c r="A59" s="2"/>
      <c r="B59" t="s">
        <v>43</v>
      </c>
      <c r="C59" s="127"/>
      <c r="D59" s="4"/>
      <c r="E59" s="114"/>
      <c r="F59" s="114"/>
      <c r="G59" s="114"/>
      <c r="H59" s="114"/>
      <c r="I59" s="114"/>
      <c r="J59" s="114"/>
      <c r="K59" s="114"/>
      <c r="L59" s="117"/>
      <c r="M59" s="75"/>
      <c r="N59" s="76"/>
      <c r="O59" s="76"/>
      <c r="P59" s="77"/>
    </row>
    <row r="60" spans="1:16" x14ac:dyDescent="0.25">
      <c r="A60" s="2"/>
      <c r="B60" t="s">
        <v>52</v>
      </c>
      <c r="C60" s="127">
        <v>0</v>
      </c>
      <c r="D60" s="4"/>
      <c r="E60" s="130">
        <f>$C$60*E10</f>
        <v>0</v>
      </c>
      <c r="F60" s="130">
        <f t="shared" ref="E60:L60" si="24">$C$60*F10</f>
        <v>0</v>
      </c>
      <c r="G60" s="130">
        <f t="shared" si="24"/>
        <v>0</v>
      </c>
      <c r="H60" s="130">
        <f t="shared" si="24"/>
        <v>0</v>
      </c>
      <c r="I60" s="130">
        <f t="shared" si="24"/>
        <v>0</v>
      </c>
      <c r="J60" s="130">
        <f t="shared" si="24"/>
        <v>0</v>
      </c>
      <c r="K60" s="130">
        <f t="shared" si="24"/>
        <v>0</v>
      </c>
      <c r="L60" s="131">
        <f t="shared" si="24"/>
        <v>0</v>
      </c>
      <c r="M60" s="75"/>
      <c r="N60" s="76"/>
      <c r="O60" s="76"/>
      <c r="P60" s="77"/>
    </row>
    <row r="61" spans="1:16" x14ac:dyDescent="0.25">
      <c r="A61" s="2"/>
      <c r="C61" s="127"/>
      <c r="D61" s="4"/>
      <c r="E61" s="106"/>
      <c r="F61" s="106"/>
      <c r="G61" s="106"/>
      <c r="H61" s="106"/>
      <c r="I61" s="106"/>
      <c r="J61" s="106"/>
      <c r="K61" s="106"/>
      <c r="L61" s="107"/>
      <c r="M61" s="75"/>
      <c r="N61" s="76"/>
      <c r="O61" s="76"/>
      <c r="P61" s="77"/>
    </row>
    <row r="62" spans="1:16" ht="15.75" thickBot="1" x14ac:dyDescent="0.3">
      <c r="A62" s="2"/>
      <c r="C62" s="128"/>
      <c r="D62" s="129"/>
      <c r="E62" s="118"/>
      <c r="F62" s="118"/>
      <c r="G62" s="118"/>
      <c r="H62" s="118"/>
      <c r="I62" s="118"/>
      <c r="J62" s="118"/>
      <c r="K62" s="118"/>
      <c r="L62" s="119"/>
      <c r="M62" s="75"/>
      <c r="N62" s="76"/>
      <c r="O62" s="76"/>
      <c r="P62" s="77"/>
    </row>
    <row r="63" spans="1:16" s="18" customFormat="1" x14ac:dyDescent="0.25">
      <c r="B63" s="10" t="s">
        <v>25</v>
      </c>
      <c r="C63" s="16"/>
      <c r="D63" s="16"/>
      <c r="E63" s="105">
        <f>SUM(E49:E62)</f>
        <v>0</v>
      </c>
      <c r="F63" s="105">
        <f t="shared" ref="E63:L63" si="25">SUM(F49:F62)</f>
        <v>0</v>
      </c>
      <c r="G63" s="105">
        <f t="shared" si="25"/>
        <v>0</v>
      </c>
      <c r="H63" s="105">
        <f t="shared" si="25"/>
        <v>0</v>
      </c>
      <c r="I63" s="105">
        <f t="shared" si="25"/>
        <v>0</v>
      </c>
      <c r="J63" s="105">
        <f t="shared" si="25"/>
        <v>0</v>
      </c>
      <c r="K63" s="105">
        <f t="shared" si="25"/>
        <v>0</v>
      </c>
      <c r="L63" s="105">
        <f t="shared" si="25"/>
        <v>0</v>
      </c>
      <c r="M63" s="89"/>
      <c r="N63" s="90"/>
      <c r="O63" s="90"/>
      <c r="P63" s="91"/>
    </row>
    <row r="64" spans="1:16" s="18" customFormat="1" x14ac:dyDescent="0.25">
      <c r="B64"/>
      <c r="C64" s="4"/>
      <c r="D64" s="4"/>
      <c r="E64" s="3"/>
      <c r="F64" s="3"/>
      <c r="G64" s="3"/>
      <c r="H64" s="3"/>
      <c r="I64" s="3"/>
      <c r="J64" s="3"/>
      <c r="K64" s="3"/>
      <c r="L64" s="3"/>
      <c r="M64" s="92"/>
      <c r="N64" s="93"/>
      <c r="O64" s="90"/>
      <c r="P64" s="91"/>
    </row>
    <row r="65" spans="1:16" s="18" customFormat="1" ht="15.75" thickBot="1" x14ac:dyDescent="0.3">
      <c r="B65" s="18" t="s">
        <v>16</v>
      </c>
      <c r="E65" s="19">
        <f>E63-E45</f>
        <v>0</v>
      </c>
      <c r="F65" s="19">
        <f t="shared" ref="E65:L65" si="26">F63-F45</f>
        <v>0</v>
      </c>
      <c r="G65" s="19">
        <f t="shared" si="26"/>
        <v>0</v>
      </c>
      <c r="H65" s="19">
        <f t="shared" si="26"/>
        <v>0</v>
      </c>
      <c r="I65" s="19">
        <f t="shared" si="26"/>
        <v>0</v>
      </c>
      <c r="J65" s="19">
        <f t="shared" si="26"/>
        <v>0</v>
      </c>
      <c r="K65" s="19">
        <f t="shared" si="26"/>
        <v>0</v>
      </c>
      <c r="L65" s="19">
        <f t="shared" si="26"/>
        <v>0</v>
      </c>
      <c r="M65" s="94"/>
      <c r="N65" s="95"/>
      <c r="O65" s="96"/>
      <c r="P65" s="97"/>
    </row>
    <row r="66" spans="1:16" x14ac:dyDescent="0.25">
      <c r="A66" s="2"/>
      <c r="B66" s="132" t="s">
        <v>59</v>
      </c>
      <c r="C66" s="132"/>
      <c r="D66" s="132"/>
      <c r="E66" s="133">
        <f>SUM(E49:E52)</f>
        <v>0</v>
      </c>
      <c r="F66" s="133">
        <f t="shared" ref="F66:L66" si="27">SUM(F49:F52)</f>
        <v>0</v>
      </c>
      <c r="G66" s="133">
        <f t="shared" si="27"/>
        <v>0</v>
      </c>
      <c r="H66" s="133">
        <f t="shared" si="27"/>
        <v>0</v>
      </c>
      <c r="I66" s="133">
        <f t="shared" si="27"/>
        <v>0</v>
      </c>
      <c r="J66" s="133">
        <f t="shared" si="27"/>
        <v>0</v>
      </c>
      <c r="K66" s="133">
        <f t="shared" si="27"/>
        <v>0</v>
      </c>
      <c r="L66" s="133">
        <f t="shared" si="27"/>
        <v>0</v>
      </c>
      <c r="N66" s="149"/>
      <c r="O66" s="149"/>
    </row>
    <row r="67" spans="1:16" x14ac:dyDescent="0.25">
      <c r="B67" s="132" t="s">
        <v>58</v>
      </c>
      <c r="C67" s="132"/>
      <c r="D67" s="132"/>
      <c r="E67" s="133">
        <f>E66-E52</f>
        <v>0</v>
      </c>
      <c r="F67" s="133">
        <f t="shared" ref="F67:L67" si="28">F66-F52</f>
        <v>0</v>
      </c>
      <c r="G67" s="133">
        <f t="shared" si="28"/>
        <v>0</v>
      </c>
      <c r="H67" s="133">
        <f t="shared" si="28"/>
        <v>0</v>
      </c>
      <c r="I67" s="133">
        <f t="shared" si="28"/>
        <v>0</v>
      </c>
      <c r="J67" s="133">
        <f t="shared" si="28"/>
        <v>0</v>
      </c>
      <c r="K67" s="133">
        <f t="shared" si="28"/>
        <v>0</v>
      </c>
      <c r="L67" s="133">
        <f t="shared" si="28"/>
        <v>0</v>
      </c>
      <c r="M67" s="6"/>
      <c r="N67" s="6"/>
    </row>
    <row r="68" spans="1:16" x14ac:dyDescent="0.25">
      <c r="M68" s="6"/>
      <c r="N68" s="6"/>
      <c r="P68" s="7"/>
    </row>
    <row r="69" spans="1:16" ht="47.25" customHeight="1" x14ac:dyDescent="0.25">
      <c r="B69" s="150" t="s">
        <v>15</v>
      </c>
      <c r="C69" s="150"/>
      <c r="D69" s="150"/>
      <c r="E69" s="150"/>
      <c r="F69" s="150"/>
      <c r="G69" s="150"/>
      <c r="H69" s="150"/>
      <c r="I69" s="150"/>
      <c r="J69" s="150"/>
      <c r="K69" s="150"/>
      <c r="L69" s="150"/>
    </row>
    <row r="70" spans="1:16" x14ac:dyDescent="0.25">
      <c r="K70" s="42"/>
      <c r="L70" s="6"/>
    </row>
    <row r="71" spans="1:16" x14ac:dyDescent="0.25">
      <c r="K71" s="42"/>
      <c r="L71" s="42"/>
    </row>
  </sheetData>
  <mergeCells count="3">
    <mergeCell ref="A3:B3"/>
    <mergeCell ref="N66:O66"/>
    <mergeCell ref="B69:L69"/>
  </mergeCells>
  <printOptions horizontalCentered="1"/>
  <pageMargins left="0.25" right="0.25" top="0.75" bottom="0.75" header="0.3" footer="0.3"/>
  <pageSetup scale="6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99DAA-A277-413C-A483-55F874010FB5}">
  <sheetPr>
    <tabColor rgb="FFFFFF00"/>
    <pageSetUpPr fitToPage="1"/>
  </sheetPr>
  <dimension ref="A1:Q72"/>
  <sheetViews>
    <sheetView zoomScale="83" zoomScaleNormal="83" workbookViewId="0">
      <pane xSplit="3" ySplit="4" topLeftCell="D35" activePane="bottomRight" state="frozen"/>
      <selection pane="topRight" activeCell="D1" sqref="D1"/>
      <selection pane="bottomLeft" activeCell="A4" sqref="A4"/>
      <selection pane="bottomRight" activeCell="B68" sqref="B68"/>
    </sheetView>
  </sheetViews>
  <sheetFormatPr defaultColWidth="8.85546875" defaultRowHeight="15" x14ac:dyDescent="0.25"/>
  <cols>
    <col min="1" max="1" width="2.7109375" customWidth="1"/>
    <col min="2" max="2" width="41.28515625" bestFit="1" customWidth="1"/>
    <col min="3" max="3" width="12.28515625" bestFit="1" customWidth="1"/>
    <col min="4" max="4" width="2.28515625" customWidth="1"/>
    <col min="5" max="5" width="12.28515625" bestFit="1" customWidth="1"/>
    <col min="6" max="6" width="11.85546875" bestFit="1" customWidth="1"/>
    <col min="7" max="7" width="12.140625" customWidth="1"/>
    <col min="8" max="12" width="12.42578125" bestFit="1" customWidth="1"/>
    <col min="13" max="13" width="11.7109375" bestFit="1" customWidth="1"/>
    <col min="14" max="14" width="12.42578125" bestFit="1" customWidth="1"/>
    <col min="15" max="16" width="10" bestFit="1" customWidth="1"/>
  </cols>
  <sheetData>
    <row r="1" spans="1:16" ht="18.75" x14ac:dyDescent="0.3">
      <c r="A1" s="57" t="s">
        <v>62</v>
      </c>
      <c r="K1" s="56" t="s">
        <v>60</v>
      </c>
      <c r="L1" s="56" t="s">
        <v>61</v>
      </c>
    </row>
    <row r="2" spans="1:16" x14ac:dyDescent="0.25">
      <c r="A2" s="18" t="s">
        <v>63</v>
      </c>
    </row>
    <row r="3" spans="1:16" ht="18.75" x14ac:dyDescent="0.3">
      <c r="A3" s="148"/>
      <c r="B3" s="148"/>
      <c r="J3" s="13"/>
      <c r="K3" s="13" t="s">
        <v>26</v>
      </c>
      <c r="L3" s="13"/>
    </row>
    <row r="4" spans="1:16" ht="15.75" thickBot="1" x14ac:dyDescent="0.3">
      <c r="A4" s="20" t="s">
        <v>34</v>
      </c>
      <c r="C4" s="12"/>
      <c r="D4" s="12"/>
      <c r="E4" s="11" t="s">
        <v>2</v>
      </c>
      <c r="F4" s="11" t="s">
        <v>3</v>
      </c>
      <c r="G4" s="11" t="s">
        <v>4</v>
      </c>
      <c r="H4" s="11" t="s">
        <v>5</v>
      </c>
      <c r="I4" s="11" t="s">
        <v>6</v>
      </c>
      <c r="J4" s="11" t="s">
        <v>7</v>
      </c>
      <c r="K4" s="11" t="s">
        <v>8</v>
      </c>
      <c r="L4" s="11" t="s">
        <v>27</v>
      </c>
    </row>
    <row r="6" spans="1:16" x14ac:dyDescent="0.25">
      <c r="A6" s="2" t="s">
        <v>1</v>
      </c>
    </row>
    <row r="7" spans="1:16" x14ac:dyDescent="0.25">
      <c r="B7" t="s">
        <v>37</v>
      </c>
      <c r="E7" s="29">
        <v>2</v>
      </c>
      <c r="F7" s="29">
        <v>2</v>
      </c>
      <c r="G7" s="29">
        <v>2</v>
      </c>
      <c r="H7" s="29">
        <v>3</v>
      </c>
      <c r="I7" s="29">
        <v>3</v>
      </c>
      <c r="J7" s="29">
        <v>3</v>
      </c>
      <c r="K7" s="29">
        <v>3</v>
      </c>
      <c r="L7" s="44">
        <v>3</v>
      </c>
    </row>
    <row r="8" spans="1:16" x14ac:dyDescent="0.25">
      <c r="B8" t="s">
        <v>38</v>
      </c>
      <c r="E8" s="33">
        <v>1</v>
      </c>
      <c r="F8" s="33">
        <v>1</v>
      </c>
      <c r="G8" s="33">
        <v>1</v>
      </c>
      <c r="H8" s="33">
        <v>1</v>
      </c>
      <c r="I8" s="33">
        <v>2</v>
      </c>
      <c r="J8" s="33">
        <v>2</v>
      </c>
      <c r="K8" s="33">
        <v>2</v>
      </c>
      <c r="L8" s="45">
        <v>2</v>
      </c>
    </row>
    <row r="9" spans="1:16" ht="15.75" thickBot="1" x14ac:dyDescent="0.3">
      <c r="B9" t="s">
        <v>9</v>
      </c>
      <c r="E9" s="30">
        <v>1</v>
      </c>
      <c r="F9" s="30">
        <v>1</v>
      </c>
      <c r="G9" s="30">
        <v>1</v>
      </c>
      <c r="H9" s="30">
        <v>1</v>
      </c>
      <c r="I9" s="30">
        <v>1</v>
      </c>
      <c r="J9" s="30">
        <v>1</v>
      </c>
      <c r="K9" s="30">
        <v>1</v>
      </c>
      <c r="L9" s="46">
        <v>1</v>
      </c>
    </row>
    <row r="10" spans="1:16" x14ac:dyDescent="0.25">
      <c r="B10" s="10" t="s">
        <v>28</v>
      </c>
      <c r="C10" s="10"/>
      <c r="D10" s="10"/>
      <c r="E10" s="34">
        <f>SUM(E7:E9)</f>
        <v>4</v>
      </c>
      <c r="F10" s="34">
        <f t="shared" ref="F10:L10" si="0">SUM(F7:F9)</f>
        <v>4</v>
      </c>
      <c r="G10" s="34">
        <f t="shared" si="0"/>
        <v>4</v>
      </c>
      <c r="H10" s="34">
        <f t="shared" si="0"/>
        <v>5</v>
      </c>
      <c r="I10" s="34">
        <f t="shared" si="0"/>
        <v>6</v>
      </c>
      <c r="J10" s="34">
        <f t="shared" si="0"/>
        <v>6</v>
      </c>
      <c r="K10" s="34">
        <f t="shared" si="0"/>
        <v>6</v>
      </c>
      <c r="L10" s="34">
        <f t="shared" si="0"/>
        <v>6</v>
      </c>
      <c r="M10" s="47"/>
      <c r="N10" s="47"/>
      <c r="O10" s="47"/>
      <c r="P10" s="47"/>
    </row>
    <row r="12" spans="1:16" x14ac:dyDescent="0.25">
      <c r="A12" s="2" t="s">
        <v>13</v>
      </c>
    </row>
    <row r="13" spans="1:16" x14ac:dyDescent="0.25">
      <c r="B13" t="s">
        <v>37</v>
      </c>
      <c r="E13">
        <f>E7</f>
        <v>2</v>
      </c>
      <c r="F13">
        <f>E13+F7+E16</f>
        <v>5</v>
      </c>
      <c r="G13">
        <f>F13+G7+F16</f>
        <v>8</v>
      </c>
      <c r="H13">
        <f>G13+H7+G16</f>
        <v>12</v>
      </c>
      <c r="I13">
        <f t="shared" ref="I13:J13" si="1">H13+I7+H16</f>
        <v>16</v>
      </c>
      <c r="J13">
        <f t="shared" si="1"/>
        <v>21</v>
      </c>
      <c r="K13">
        <f>(J13+K7+J16)-(E7+E8)</f>
        <v>23</v>
      </c>
      <c r="L13">
        <f>(K13+L7+K16)-(F7+F8)</f>
        <v>25</v>
      </c>
    </row>
    <row r="14" spans="1:16" x14ac:dyDescent="0.25">
      <c r="B14" t="s">
        <v>45</v>
      </c>
      <c r="E14" s="21">
        <v>9</v>
      </c>
      <c r="F14" s="21">
        <v>8</v>
      </c>
      <c r="G14" s="21">
        <v>7</v>
      </c>
      <c r="H14" s="21">
        <v>4</v>
      </c>
      <c r="I14" s="21">
        <v>2</v>
      </c>
      <c r="J14" s="21">
        <v>0</v>
      </c>
      <c r="K14" s="21">
        <v>0</v>
      </c>
      <c r="L14" s="21">
        <v>0</v>
      </c>
    </row>
    <row r="15" spans="1:16" x14ac:dyDescent="0.25">
      <c r="B15" t="s">
        <v>50</v>
      </c>
      <c r="E15" s="21">
        <v>3</v>
      </c>
      <c r="F15" s="21">
        <v>3</v>
      </c>
      <c r="G15" s="21">
        <v>2</v>
      </c>
      <c r="H15" s="21">
        <v>1</v>
      </c>
      <c r="I15" s="21">
        <v>0</v>
      </c>
      <c r="J15" s="21">
        <v>0</v>
      </c>
      <c r="K15" s="21">
        <v>0</v>
      </c>
      <c r="L15" s="21">
        <v>0</v>
      </c>
    </row>
    <row r="16" spans="1:16" x14ac:dyDescent="0.25">
      <c r="B16" t="s">
        <v>39</v>
      </c>
      <c r="E16">
        <f t="shared" ref="E16:L16" si="2">E8</f>
        <v>1</v>
      </c>
      <c r="F16">
        <f t="shared" si="2"/>
        <v>1</v>
      </c>
      <c r="G16">
        <f t="shared" si="2"/>
        <v>1</v>
      </c>
      <c r="H16">
        <f t="shared" si="2"/>
        <v>1</v>
      </c>
      <c r="I16">
        <f t="shared" si="2"/>
        <v>2</v>
      </c>
      <c r="J16">
        <f t="shared" si="2"/>
        <v>2</v>
      </c>
      <c r="K16">
        <f t="shared" si="2"/>
        <v>2</v>
      </c>
      <c r="L16">
        <f t="shared" si="2"/>
        <v>2</v>
      </c>
    </row>
    <row r="17" spans="1:17" ht="15.75" thickBot="1" x14ac:dyDescent="0.3">
      <c r="B17" t="s">
        <v>9</v>
      </c>
      <c r="C17" s="1"/>
      <c r="D17" s="1"/>
      <c r="E17">
        <f>E9</f>
        <v>1</v>
      </c>
      <c r="F17">
        <f t="shared" ref="F17:J17" si="3">E17+F9</f>
        <v>2</v>
      </c>
      <c r="G17">
        <f t="shared" si="3"/>
        <v>3</v>
      </c>
      <c r="H17">
        <f t="shared" si="3"/>
        <v>4</v>
      </c>
      <c r="I17">
        <f t="shared" si="3"/>
        <v>5</v>
      </c>
      <c r="J17">
        <f t="shared" si="3"/>
        <v>6</v>
      </c>
      <c r="K17">
        <f t="shared" ref="K17:L17" si="4">J17+K9-E9</f>
        <v>6</v>
      </c>
      <c r="L17">
        <f t="shared" si="4"/>
        <v>6</v>
      </c>
    </row>
    <row r="18" spans="1:17" x14ac:dyDescent="0.25">
      <c r="B18" s="10" t="s">
        <v>10</v>
      </c>
      <c r="C18" s="8"/>
      <c r="D18" s="8"/>
      <c r="E18" s="10">
        <f t="shared" ref="E18:K18" si="5">SUM(E13:E17)</f>
        <v>16</v>
      </c>
      <c r="F18" s="10">
        <f t="shared" si="5"/>
        <v>19</v>
      </c>
      <c r="G18" s="10">
        <f t="shared" si="5"/>
        <v>21</v>
      </c>
      <c r="H18" s="10">
        <f t="shared" si="5"/>
        <v>22</v>
      </c>
      <c r="I18" s="10">
        <f t="shared" si="5"/>
        <v>25</v>
      </c>
      <c r="J18" s="10">
        <f t="shared" si="5"/>
        <v>29</v>
      </c>
      <c r="K18" s="10">
        <f t="shared" si="5"/>
        <v>31</v>
      </c>
      <c r="L18" s="10">
        <f t="shared" ref="L18" si="6">SUM(L13:L17)</f>
        <v>33</v>
      </c>
      <c r="M18" s="1"/>
      <c r="N18" s="1"/>
      <c r="O18" s="1"/>
      <c r="P18" s="1"/>
    </row>
    <row r="20" spans="1:17" x14ac:dyDescent="0.25">
      <c r="A20" s="2" t="s">
        <v>17</v>
      </c>
      <c r="Q20" s="136"/>
    </row>
    <row r="21" spans="1:17" x14ac:dyDescent="0.25">
      <c r="A21" s="2"/>
      <c r="B21" s="21" t="s">
        <v>56</v>
      </c>
      <c r="C21" s="25">
        <v>30000</v>
      </c>
      <c r="E21" s="25">
        <f>C21</f>
        <v>30000</v>
      </c>
      <c r="F21" s="25">
        <f t="shared" ref="F21:L21" si="7">E21*1.03</f>
        <v>30900</v>
      </c>
      <c r="G21" s="25">
        <f t="shared" si="7"/>
        <v>31827</v>
      </c>
      <c r="H21" s="25">
        <f t="shared" si="7"/>
        <v>32781.81</v>
      </c>
      <c r="I21" s="25">
        <f t="shared" si="7"/>
        <v>33765.264299999995</v>
      </c>
      <c r="J21" s="25">
        <f t="shared" si="7"/>
        <v>34778.222228999999</v>
      </c>
      <c r="K21" s="25">
        <f t="shared" si="7"/>
        <v>35821.568895869998</v>
      </c>
      <c r="L21" s="25">
        <f t="shared" si="7"/>
        <v>36896.215962746101</v>
      </c>
    </row>
    <row r="22" spans="1:17" x14ac:dyDescent="0.25">
      <c r="A22" s="2"/>
      <c r="B22" s="21" t="s">
        <v>46</v>
      </c>
      <c r="C22" s="29">
        <f>0.546+N("projected ben rate at start FY24")</f>
        <v>0.54600000000000004</v>
      </c>
      <c r="E22" s="25">
        <f>E21*($C$22+(0.006*1))</f>
        <v>16560</v>
      </c>
      <c r="F22" s="25">
        <f>F21*($C$22+(0.006*2))</f>
        <v>17242.2</v>
      </c>
      <c r="G22" s="25">
        <f>G21*($C$22+(0.006*3))</f>
        <v>17950.428000000004</v>
      </c>
      <c r="H22" s="25">
        <f>H21*($C$22+(0.006*4))</f>
        <v>18685.631700000002</v>
      </c>
      <c r="I22" s="25">
        <f>I21*($C$22+(0.006*5))</f>
        <v>19448.7922368</v>
      </c>
      <c r="J22" s="25">
        <f>J21*($C$22+(0.006*6))</f>
        <v>20240.925337278</v>
      </c>
      <c r="K22" s="25">
        <f>K21*($C$22+(0.006*7))</f>
        <v>21063.082510771561</v>
      </c>
      <c r="L22" s="25">
        <f>L21*($C$22+(0.006*8))</f>
        <v>21916.352281871186</v>
      </c>
    </row>
    <row r="23" spans="1:17" x14ac:dyDescent="0.25">
      <c r="A23" s="2"/>
      <c r="B23" s="21" t="s">
        <v>35</v>
      </c>
      <c r="C23" s="29"/>
      <c r="E23" s="25">
        <v>10000</v>
      </c>
      <c r="F23" s="25">
        <v>500</v>
      </c>
      <c r="G23" s="25">
        <v>500</v>
      </c>
      <c r="H23" s="25">
        <v>10000</v>
      </c>
      <c r="I23" s="25">
        <v>500</v>
      </c>
      <c r="J23" s="25">
        <v>500</v>
      </c>
      <c r="K23" s="25">
        <v>10000</v>
      </c>
      <c r="L23" s="25">
        <v>500</v>
      </c>
      <c r="N23" s="37"/>
      <c r="O23" s="38"/>
    </row>
    <row r="24" spans="1:17" x14ac:dyDescent="0.25">
      <c r="A24" s="2"/>
      <c r="B24" s="21" t="s">
        <v>36</v>
      </c>
      <c r="C24" s="29"/>
      <c r="E24" s="25">
        <f>E18*250</f>
        <v>4000</v>
      </c>
      <c r="F24" s="25">
        <v>4000</v>
      </c>
      <c r="G24" s="25">
        <v>4500</v>
      </c>
      <c r="H24" s="25">
        <v>4500</v>
      </c>
      <c r="I24" s="25">
        <v>4500</v>
      </c>
      <c r="J24" s="25">
        <v>5000</v>
      </c>
      <c r="K24" s="25">
        <v>5500</v>
      </c>
      <c r="L24" s="25">
        <v>6500</v>
      </c>
      <c r="O24" s="35"/>
    </row>
    <row r="25" spans="1:17" x14ac:dyDescent="0.25">
      <c r="A25" s="2"/>
      <c r="B25" s="21"/>
      <c r="C25" s="29"/>
      <c r="E25" s="25"/>
      <c r="F25" s="25"/>
      <c r="G25" s="25"/>
      <c r="H25" s="25"/>
      <c r="I25" s="25"/>
      <c r="J25" s="25"/>
      <c r="K25" s="25"/>
      <c r="L25" s="25"/>
    </row>
    <row r="26" spans="1:17" x14ac:dyDescent="0.25">
      <c r="A26" s="2"/>
      <c r="B26" s="21"/>
      <c r="C26" s="29"/>
      <c r="E26" s="25"/>
      <c r="F26" s="25"/>
      <c r="G26" s="25"/>
      <c r="H26" s="25"/>
      <c r="I26" s="25"/>
      <c r="J26" s="25"/>
      <c r="K26" s="25"/>
      <c r="L26" s="25"/>
    </row>
    <row r="27" spans="1:17" x14ac:dyDescent="0.25">
      <c r="A27" s="2"/>
      <c r="B27" s="21"/>
      <c r="C27" s="29"/>
      <c r="E27" s="25"/>
      <c r="F27" s="25"/>
      <c r="G27" s="25"/>
      <c r="H27" s="25"/>
      <c r="I27" s="25"/>
      <c r="J27" s="25"/>
      <c r="K27" s="25"/>
      <c r="L27" s="25"/>
    </row>
    <row r="28" spans="1:17" x14ac:dyDescent="0.25">
      <c r="A28" s="2"/>
      <c r="B28" s="21"/>
      <c r="C28" s="29"/>
      <c r="E28" s="25"/>
      <c r="F28" s="25"/>
      <c r="G28" s="25"/>
      <c r="H28" s="25"/>
      <c r="I28" s="25"/>
      <c r="J28" s="25"/>
      <c r="K28" s="25"/>
      <c r="L28" s="25"/>
    </row>
    <row r="29" spans="1:17" ht="15.75" thickBot="1" x14ac:dyDescent="0.3">
      <c r="A29" s="2"/>
      <c r="B29" s="21"/>
      <c r="C29" s="30"/>
      <c r="E29" s="39"/>
      <c r="F29" s="39"/>
      <c r="G29" s="39"/>
      <c r="H29" s="39"/>
      <c r="I29" s="39"/>
      <c r="J29" s="39"/>
      <c r="K29" s="39"/>
      <c r="L29" s="39"/>
    </row>
    <row r="30" spans="1:17" x14ac:dyDescent="0.25">
      <c r="A30" s="2"/>
      <c r="B30" s="10" t="s">
        <v>18</v>
      </c>
      <c r="C30" s="8"/>
      <c r="D30" s="8"/>
      <c r="E30" s="9">
        <f t="shared" ref="E30:L30" si="8">SUM(E20:E29)</f>
        <v>60560</v>
      </c>
      <c r="F30" s="9">
        <f t="shared" si="8"/>
        <v>52642.2</v>
      </c>
      <c r="G30" s="9">
        <f t="shared" si="8"/>
        <v>54777.428</v>
      </c>
      <c r="H30" s="9">
        <f t="shared" si="8"/>
        <v>65967.441699999996</v>
      </c>
      <c r="I30" s="9">
        <f t="shared" si="8"/>
        <v>58214.056536799995</v>
      </c>
      <c r="J30" s="9">
        <f t="shared" si="8"/>
        <v>60519.147566277999</v>
      </c>
      <c r="K30" s="9">
        <f t="shared" si="8"/>
        <v>72384.651406641555</v>
      </c>
      <c r="L30" s="9">
        <f t="shared" si="8"/>
        <v>65812.568244617287</v>
      </c>
    </row>
    <row r="31" spans="1:17" x14ac:dyDescent="0.25">
      <c r="A31" s="2"/>
    </row>
    <row r="33" spans="1:12" x14ac:dyDescent="0.25">
      <c r="A33" s="2" t="s">
        <v>19</v>
      </c>
      <c r="C33" s="7"/>
    </row>
    <row r="34" spans="1:12" x14ac:dyDescent="0.25">
      <c r="B34" t="s">
        <v>12</v>
      </c>
      <c r="C34" s="48">
        <f>17146.53-(4577+784)+N("GSHIP and Fees that are calculated below")</f>
        <v>11785.529999999999</v>
      </c>
      <c r="D34" s="4"/>
      <c r="E34" s="6">
        <f>$C$34*E18</f>
        <v>188568.47999999998</v>
      </c>
      <c r="F34" s="3">
        <f>$C$34*F18</f>
        <v>223925.06999999998</v>
      </c>
      <c r="G34" s="3">
        <f>$C$34*G18</f>
        <v>247496.12999999998</v>
      </c>
      <c r="H34" s="3">
        <f>$C$34*H18</f>
        <v>259281.65999999997</v>
      </c>
      <c r="I34" s="3">
        <f>$C$34*I18</f>
        <v>294638.25</v>
      </c>
      <c r="J34" s="3">
        <f>$C$34*(J18-E10)</f>
        <v>294638.25</v>
      </c>
      <c r="K34" s="3">
        <f>$C$34*(K18-F10)</f>
        <v>318209.30999999994</v>
      </c>
      <c r="L34" s="3">
        <f>$C$34*(L18-G10)</f>
        <v>341780.37</v>
      </c>
    </row>
    <row r="35" spans="1:12" x14ac:dyDescent="0.25">
      <c r="B35" t="s">
        <v>40</v>
      </c>
      <c r="C35" s="48">
        <v>15102</v>
      </c>
      <c r="D35" s="4"/>
      <c r="E35" s="6">
        <f>(E16+E17+E15)*$C$35</f>
        <v>75510</v>
      </c>
      <c r="F35" s="3">
        <f t="shared" ref="E35:L35" si="9">(F16+F17+F15)*$C$35</f>
        <v>90612</v>
      </c>
      <c r="G35" s="3">
        <f>(G16+G17+G15)*$C$35</f>
        <v>90612</v>
      </c>
      <c r="H35" s="3">
        <f>(H16+H17+H15)*$C$35</f>
        <v>90612</v>
      </c>
      <c r="I35" s="3">
        <f>(I16+I17+I15)*$C$35</f>
        <v>105714</v>
      </c>
      <c r="J35" s="3">
        <f>(J16+J17+J15)*$C$35</f>
        <v>120816</v>
      </c>
      <c r="K35" s="3">
        <f>(K16+K17+K15)*$C$35</f>
        <v>120816</v>
      </c>
      <c r="L35" s="3">
        <f>(L16+L17+L15)*$C$35</f>
        <v>120816</v>
      </c>
    </row>
    <row r="36" spans="1:12" x14ac:dyDescent="0.25">
      <c r="B36" t="s">
        <v>32</v>
      </c>
      <c r="C36" s="48">
        <v>4576.53</v>
      </c>
      <c r="D36" s="4"/>
      <c r="E36" s="6">
        <f>$C$36*E18</f>
        <v>73224.479999999996</v>
      </c>
      <c r="F36" s="3">
        <f>$C$36*F18</f>
        <v>86954.069999999992</v>
      </c>
      <c r="G36" s="3">
        <f>$C$36*G18</f>
        <v>96107.12999999999</v>
      </c>
      <c r="H36" s="3">
        <f>$C$36*H18</f>
        <v>100683.65999999999</v>
      </c>
      <c r="I36" s="3">
        <f>$C$36*I18</f>
        <v>114413.25</v>
      </c>
      <c r="J36" s="3">
        <f>$C$36*J18</f>
        <v>132719.37</v>
      </c>
      <c r="K36" s="3">
        <f>$C$36*K18</f>
        <v>141872.43</v>
      </c>
      <c r="L36" s="3">
        <f>$C$36*L18</f>
        <v>151025.49</v>
      </c>
    </row>
    <row r="37" spans="1:12" x14ac:dyDescent="0.25">
      <c r="B37" t="s">
        <v>14</v>
      </c>
      <c r="C37" s="49">
        <v>783.62</v>
      </c>
      <c r="D37" s="4"/>
      <c r="E37" s="6">
        <f>$C$37*E18</f>
        <v>12537.92</v>
      </c>
      <c r="F37" s="3">
        <f t="shared" ref="F37:L37" si="10">$C$37*F18</f>
        <v>14888.78</v>
      </c>
      <c r="G37" s="3">
        <f t="shared" si="10"/>
        <v>16456.02</v>
      </c>
      <c r="H37" s="3">
        <f t="shared" si="10"/>
        <v>17239.64</v>
      </c>
      <c r="I37" s="3">
        <f t="shared" si="10"/>
        <v>19590.5</v>
      </c>
      <c r="J37" s="3">
        <f t="shared" si="10"/>
        <v>22724.98</v>
      </c>
      <c r="K37" s="3">
        <f t="shared" si="10"/>
        <v>24292.22</v>
      </c>
      <c r="L37" s="3">
        <f t="shared" si="10"/>
        <v>25859.46</v>
      </c>
    </row>
    <row r="38" spans="1:12" x14ac:dyDescent="0.25">
      <c r="B38" t="s">
        <v>47</v>
      </c>
      <c r="C38" s="31">
        <v>21000</v>
      </c>
      <c r="D38" s="4"/>
      <c r="E38" s="6">
        <f>E10*$C$38</f>
        <v>84000</v>
      </c>
      <c r="F38" s="3">
        <f>F10*$C$38</f>
        <v>84000</v>
      </c>
      <c r="G38" s="3">
        <f>G10*$C$38</f>
        <v>84000</v>
      </c>
      <c r="H38" s="3">
        <f>H10*$C$38</f>
        <v>105000</v>
      </c>
      <c r="I38" s="3">
        <f>I10*$C$38</f>
        <v>126000</v>
      </c>
      <c r="J38" s="3">
        <f t="shared" ref="E38:L38" si="11">J10*$C$38</f>
        <v>126000</v>
      </c>
      <c r="K38" s="3">
        <f t="shared" si="11"/>
        <v>126000</v>
      </c>
      <c r="L38" s="3">
        <f t="shared" si="11"/>
        <v>126000</v>
      </c>
    </row>
    <row r="39" spans="1:12" x14ac:dyDescent="0.25">
      <c r="B39" t="s">
        <v>41</v>
      </c>
      <c r="C39" s="31">
        <f>47292/2</f>
        <v>23646</v>
      </c>
      <c r="D39" s="4"/>
      <c r="E39" s="6">
        <f>(E18-E10)*$C$39</f>
        <v>283752</v>
      </c>
      <c r="F39" s="3">
        <f>(F18-F10)*$C$39</f>
        <v>354690</v>
      </c>
      <c r="G39" s="3">
        <f>(G18-G10)*$C$39</f>
        <v>401982</v>
      </c>
      <c r="H39" s="3">
        <f>(H18-H10)*$C$39</f>
        <v>401982</v>
      </c>
      <c r="I39" s="3">
        <f>(I18-I10)*$C$39</f>
        <v>449274</v>
      </c>
      <c r="J39" s="3">
        <f>(J18-(J10+E10))*$C$39</f>
        <v>449274</v>
      </c>
      <c r="K39" s="3">
        <f>(K18-(K10+F10))*$C$39</f>
        <v>496566</v>
      </c>
      <c r="L39" s="3">
        <f>(L18-(L10+G10))*$C$39</f>
        <v>543858</v>
      </c>
    </row>
    <row r="40" spans="1:12" x14ac:dyDescent="0.25">
      <c r="B40" t="s">
        <v>51</v>
      </c>
      <c r="C40" s="50">
        <v>2.3E-2</v>
      </c>
      <c r="D40" s="4"/>
      <c r="E40" s="6">
        <f>$C$40*E39</f>
        <v>6526.2960000000003</v>
      </c>
      <c r="F40" s="3">
        <f>$C$40*F39</f>
        <v>8157.87</v>
      </c>
      <c r="G40" s="3">
        <f t="shared" ref="E40:L40" si="12">$C$40*G39</f>
        <v>9245.5859999999993</v>
      </c>
      <c r="H40" s="3">
        <f t="shared" si="12"/>
        <v>9245.5859999999993</v>
      </c>
      <c r="I40" s="3">
        <f t="shared" si="12"/>
        <v>10333.302</v>
      </c>
      <c r="J40" s="3">
        <f t="shared" si="12"/>
        <v>10333.302</v>
      </c>
      <c r="K40" s="3">
        <f t="shared" si="12"/>
        <v>11421.018</v>
      </c>
      <c r="L40" s="3">
        <f t="shared" si="12"/>
        <v>12508.734</v>
      </c>
    </row>
    <row r="41" spans="1:12" ht="15.75" thickBot="1" x14ac:dyDescent="0.3">
      <c r="B41" t="s">
        <v>53</v>
      </c>
      <c r="C41" s="51">
        <v>3000</v>
      </c>
      <c r="D41" s="4"/>
      <c r="E41" s="3">
        <f>$C$41*D10</f>
        <v>0</v>
      </c>
      <c r="F41" s="3">
        <f>$C$41*E10</f>
        <v>12000</v>
      </c>
      <c r="G41" s="3">
        <f>$C$41*F10</f>
        <v>12000</v>
      </c>
      <c r="H41" s="3">
        <f>$C$41*G10</f>
        <v>12000</v>
      </c>
      <c r="I41" s="3">
        <f>$C$41*H10</f>
        <v>15000</v>
      </c>
      <c r="J41" s="3">
        <f>$C$41*I10</f>
        <v>18000</v>
      </c>
      <c r="K41" s="3">
        <f>$C$41*J10</f>
        <v>18000</v>
      </c>
      <c r="L41" s="3">
        <f>$C$41*K10</f>
        <v>18000</v>
      </c>
    </row>
    <row r="42" spans="1:12" x14ac:dyDescent="0.25">
      <c r="B42" s="10" t="s">
        <v>20</v>
      </c>
      <c r="D42" s="8"/>
      <c r="E42" s="9">
        <f t="shared" ref="E42:L42" si="13">SUM(E34:E41)</f>
        <v>724119.17599999986</v>
      </c>
      <c r="F42" s="9">
        <f t="shared" si="13"/>
        <v>875227.78999999992</v>
      </c>
      <c r="G42" s="9">
        <f t="shared" si="13"/>
        <v>957898.86600000004</v>
      </c>
      <c r="H42" s="9">
        <f t="shared" si="13"/>
        <v>996044.54599999997</v>
      </c>
      <c r="I42" s="9">
        <f t="shared" si="13"/>
        <v>1134963.3019999999</v>
      </c>
      <c r="J42" s="9">
        <f t="shared" si="13"/>
        <v>1174505.902</v>
      </c>
      <c r="K42" s="9">
        <f t="shared" si="13"/>
        <v>1257176.9779999999</v>
      </c>
      <c r="L42" s="9">
        <f t="shared" si="13"/>
        <v>1339848.0539999998</v>
      </c>
    </row>
    <row r="44" spans="1:12" s="1" customFormat="1" x14ac:dyDescent="0.25">
      <c r="A44" s="14" t="s">
        <v>31</v>
      </c>
      <c r="B44" s="14"/>
      <c r="C44" s="14"/>
      <c r="D44" s="14"/>
      <c r="E44" s="15">
        <f>E42+E30</f>
        <v>784679.17599999986</v>
      </c>
      <c r="F44" s="15">
        <f t="shared" ref="F44:L44" si="14">F42+F30</f>
        <v>927869.98999999987</v>
      </c>
      <c r="G44" s="15">
        <f t="shared" si="14"/>
        <v>1012676.294</v>
      </c>
      <c r="H44" s="15">
        <f t="shared" si="14"/>
        <v>1062011.9876999999</v>
      </c>
      <c r="I44" s="15">
        <f t="shared" si="14"/>
        <v>1193177.3585367999</v>
      </c>
      <c r="J44" s="15">
        <f t="shared" si="14"/>
        <v>1235025.049566278</v>
      </c>
      <c r="K44" s="15">
        <f t="shared" si="14"/>
        <v>1329561.6294066415</v>
      </c>
      <c r="L44" s="15">
        <f t="shared" si="14"/>
        <v>1405660.622244617</v>
      </c>
    </row>
    <row r="47" spans="1:12" x14ac:dyDescent="0.25">
      <c r="A47" s="2" t="s">
        <v>11</v>
      </c>
      <c r="C47" s="5" t="s">
        <v>0</v>
      </c>
      <c r="D47" s="13"/>
    </row>
    <row r="48" spans="1:12" x14ac:dyDescent="0.25">
      <c r="A48" s="2"/>
      <c r="B48" t="s">
        <v>30</v>
      </c>
      <c r="C48" s="4">
        <v>35000</v>
      </c>
      <c r="D48" s="4"/>
      <c r="E48" s="52">
        <f>E10*$C$48</f>
        <v>140000</v>
      </c>
      <c r="F48" s="52">
        <f>F10*$C$48</f>
        <v>140000</v>
      </c>
      <c r="G48" s="52">
        <f>G10*$C$48</f>
        <v>140000</v>
      </c>
      <c r="H48" s="52">
        <f>H10*$C$48</f>
        <v>175000</v>
      </c>
      <c r="I48" s="52">
        <f>I10*$C$48</f>
        <v>210000</v>
      </c>
      <c r="J48" s="52">
        <v>0</v>
      </c>
      <c r="K48" s="52">
        <v>0</v>
      </c>
      <c r="L48" s="52">
        <v>0</v>
      </c>
    </row>
    <row r="49" spans="1:16" x14ac:dyDescent="0.25">
      <c r="A49" s="2"/>
      <c r="B49" t="s">
        <v>29</v>
      </c>
      <c r="C49" s="4">
        <v>7000</v>
      </c>
      <c r="D49" s="4"/>
      <c r="E49" s="52">
        <v>0</v>
      </c>
      <c r="F49" s="52">
        <v>0</v>
      </c>
      <c r="G49" s="52">
        <v>0</v>
      </c>
      <c r="H49" s="52">
        <v>0</v>
      </c>
      <c r="I49" s="52">
        <v>0</v>
      </c>
      <c r="J49" s="52">
        <f>$C49*J18</f>
        <v>203000</v>
      </c>
      <c r="K49" s="52">
        <f>$C49*K18</f>
        <v>217000</v>
      </c>
      <c r="L49" s="52">
        <f>$C49*L18</f>
        <v>231000</v>
      </c>
    </row>
    <row r="50" spans="1:16" x14ac:dyDescent="0.25">
      <c r="A50" s="2"/>
      <c r="B50" t="s">
        <v>44</v>
      </c>
      <c r="C50" s="4">
        <f>7000*1.5</f>
        <v>10500</v>
      </c>
      <c r="D50" s="4"/>
      <c r="E50" s="52">
        <v>0</v>
      </c>
      <c r="F50" s="52">
        <v>0</v>
      </c>
      <c r="G50" s="52">
        <v>0</v>
      </c>
      <c r="H50" s="52">
        <v>0</v>
      </c>
      <c r="I50" s="52">
        <v>0</v>
      </c>
      <c r="J50" s="52">
        <v>0</v>
      </c>
      <c r="K50" s="52">
        <f>E10*$C$50</f>
        <v>42000</v>
      </c>
      <c r="L50" s="52">
        <f>F10*$C$50</f>
        <v>42000</v>
      </c>
    </row>
    <row r="51" spans="1:16" x14ac:dyDescent="0.25">
      <c r="A51" s="2"/>
      <c r="B51" t="s">
        <v>21</v>
      </c>
      <c r="C51" s="31">
        <v>15102</v>
      </c>
      <c r="D51" s="4"/>
      <c r="E51" s="53">
        <f t="shared" ref="E51:K51" si="15">$C$51*((E17+E16+E15)-(E9+E8))</f>
        <v>45306</v>
      </c>
      <c r="F51" s="53">
        <f t="shared" si="15"/>
        <v>60408</v>
      </c>
      <c r="G51" s="53">
        <f t="shared" si="15"/>
        <v>60408</v>
      </c>
      <c r="H51" s="53">
        <f t="shared" si="15"/>
        <v>60408</v>
      </c>
      <c r="I51" s="53">
        <f t="shared" si="15"/>
        <v>60408</v>
      </c>
      <c r="J51" s="53">
        <f t="shared" si="15"/>
        <v>75510</v>
      </c>
      <c r="K51" s="53">
        <f t="shared" si="15"/>
        <v>75510</v>
      </c>
      <c r="L51" s="53">
        <f>$C$51*((L17+L16+L15)-(L9+L8))</f>
        <v>75510</v>
      </c>
    </row>
    <row r="52" spans="1:16" x14ac:dyDescent="0.25">
      <c r="A52" s="2"/>
      <c r="B52" t="s">
        <v>54</v>
      </c>
      <c r="C52" s="31">
        <v>15102</v>
      </c>
      <c r="D52" s="4"/>
      <c r="E52" s="25">
        <f t="shared" ref="E52:L52" si="16">E35-E51</f>
        <v>30204</v>
      </c>
      <c r="F52" s="25">
        <f t="shared" si="16"/>
        <v>30204</v>
      </c>
      <c r="G52" s="25">
        <f t="shared" si="16"/>
        <v>30204</v>
      </c>
      <c r="H52" s="25">
        <f t="shared" si="16"/>
        <v>30204</v>
      </c>
      <c r="I52" s="25">
        <f t="shared" si="16"/>
        <v>45306</v>
      </c>
      <c r="J52" s="25">
        <f t="shared" si="16"/>
        <v>45306</v>
      </c>
      <c r="K52" s="25">
        <f t="shared" si="16"/>
        <v>45306</v>
      </c>
      <c r="L52" s="25">
        <f t="shared" si="16"/>
        <v>45306</v>
      </c>
    </row>
    <row r="53" spans="1:16" x14ac:dyDescent="0.25">
      <c r="A53" s="2"/>
      <c r="B53" t="s">
        <v>55</v>
      </c>
      <c r="C53" s="31"/>
      <c r="D53" s="4"/>
      <c r="E53" s="25">
        <v>9447</v>
      </c>
      <c r="F53" s="25">
        <v>21447</v>
      </c>
      <c r="G53" s="25">
        <v>21447</v>
      </c>
      <c r="H53" s="25">
        <f>21447+2361</f>
        <v>23808</v>
      </c>
      <c r="I53" s="25">
        <f>26170+3000</f>
        <v>29170</v>
      </c>
      <c r="J53" s="25">
        <v>0</v>
      </c>
      <c r="K53" s="25">
        <v>0</v>
      </c>
      <c r="L53" s="25">
        <v>0</v>
      </c>
    </row>
    <row r="54" spans="1:16" x14ac:dyDescent="0.25">
      <c r="A54" s="2"/>
      <c r="B54" t="s">
        <v>48</v>
      </c>
      <c r="C54" s="40">
        <f>47292/2</f>
        <v>23646</v>
      </c>
      <c r="D54" s="4"/>
      <c r="E54" s="25">
        <f>(E18-E10)*$C$54</f>
        <v>283752</v>
      </c>
      <c r="F54" s="25">
        <f>(F18-F10)*$C$54</f>
        <v>354690</v>
      </c>
      <c r="G54" s="25">
        <f>(G18-G10)*$C$54</f>
        <v>401982</v>
      </c>
      <c r="H54" s="25">
        <f>(H18-H10)*$C$54</f>
        <v>401982</v>
      </c>
      <c r="I54" s="25">
        <f>(I18-I10)*$C$54</f>
        <v>449274</v>
      </c>
      <c r="J54" s="25">
        <f>(J18-(J10+E10))*$C$54</f>
        <v>449274</v>
      </c>
      <c r="K54" s="25">
        <f>(K18-(K10+F10))*$C$54</f>
        <v>496566</v>
      </c>
      <c r="L54" s="25">
        <f>(L18-(L10+G10))*$C$54</f>
        <v>543858</v>
      </c>
    </row>
    <row r="55" spans="1:16" x14ac:dyDescent="0.25">
      <c r="A55" s="2"/>
      <c r="B55" t="s">
        <v>49</v>
      </c>
      <c r="C55" s="41">
        <f>C34+C36+C37</f>
        <v>17145.679999999997</v>
      </c>
      <c r="D55" s="4"/>
      <c r="E55" s="25">
        <f>($C$55)*(E18-E10)</f>
        <v>205748.15999999997</v>
      </c>
      <c r="F55" s="25">
        <f t="shared" ref="E55:L55" si="17">($C$55)*(F18-F10)</f>
        <v>257185.19999999995</v>
      </c>
      <c r="G55" s="25">
        <f t="shared" si="17"/>
        <v>291476.55999999994</v>
      </c>
      <c r="H55" s="25">
        <f t="shared" si="17"/>
        <v>291476.55999999994</v>
      </c>
      <c r="I55" s="25">
        <f t="shared" si="17"/>
        <v>325767.91999999993</v>
      </c>
      <c r="J55" s="25">
        <f t="shared" si="17"/>
        <v>394350.6399999999</v>
      </c>
      <c r="K55" s="25">
        <f t="shared" si="17"/>
        <v>428641.99999999994</v>
      </c>
      <c r="L55" s="25">
        <f>($C$55)*(L18-L10)</f>
        <v>462933.35999999993</v>
      </c>
    </row>
    <row r="56" spans="1:16" x14ac:dyDescent="0.25">
      <c r="A56" s="2"/>
      <c r="B56" t="s">
        <v>24</v>
      </c>
      <c r="C56" s="32"/>
      <c r="D56" s="4"/>
      <c r="E56" s="25"/>
      <c r="F56" s="25"/>
      <c r="G56" s="25"/>
      <c r="H56" s="25"/>
      <c r="I56" s="25"/>
      <c r="J56" s="25"/>
      <c r="K56" s="25"/>
      <c r="L56" s="25"/>
    </row>
    <row r="57" spans="1:16" x14ac:dyDescent="0.25">
      <c r="A57" s="2"/>
      <c r="B57" t="s">
        <v>22</v>
      </c>
      <c r="C57" s="27"/>
      <c r="D57" s="4"/>
      <c r="E57" s="25"/>
      <c r="F57" s="25"/>
      <c r="G57" s="25"/>
      <c r="H57" s="25"/>
      <c r="I57" s="25"/>
      <c r="J57" s="25"/>
      <c r="K57" s="25"/>
      <c r="L57" s="25"/>
      <c r="O57" s="7"/>
      <c r="P57" s="7"/>
    </row>
    <row r="58" spans="1:16" x14ac:dyDescent="0.25">
      <c r="A58" s="2"/>
      <c r="B58" t="s">
        <v>23</v>
      </c>
      <c r="C58" s="27"/>
      <c r="D58" s="4"/>
      <c r="E58" s="25"/>
      <c r="F58" s="25"/>
      <c r="G58" s="25"/>
      <c r="H58" s="25"/>
      <c r="I58" s="25"/>
      <c r="J58" s="25"/>
      <c r="K58" s="25"/>
      <c r="L58" s="25"/>
    </row>
    <row r="59" spans="1:16" x14ac:dyDescent="0.25">
      <c r="A59" s="2"/>
      <c r="B59" t="s">
        <v>42</v>
      </c>
      <c r="C59" s="27"/>
      <c r="D59" s="4"/>
      <c r="E59" s="25">
        <f>E21+E22+E23+E24+E40</f>
        <v>67086.296000000002</v>
      </c>
      <c r="F59" s="25">
        <f t="shared" ref="E59:L59" si="18">F21+F22+F23+F24+F40</f>
        <v>60800.07</v>
      </c>
      <c r="G59" s="25">
        <f t="shared" si="18"/>
        <v>64023.013999999996</v>
      </c>
      <c r="H59" s="25">
        <f t="shared" si="18"/>
        <v>75213.027699999991</v>
      </c>
      <c r="I59" s="25">
        <f t="shared" si="18"/>
        <v>68547.358536799991</v>
      </c>
      <c r="J59" s="25">
        <f t="shared" si="18"/>
        <v>70852.449566277995</v>
      </c>
      <c r="K59" s="25">
        <f t="shared" si="18"/>
        <v>83805.669406641551</v>
      </c>
      <c r="L59" s="25">
        <f t="shared" si="18"/>
        <v>78321.302244617284</v>
      </c>
    </row>
    <row r="60" spans="1:16" x14ac:dyDescent="0.25">
      <c r="A60" s="2"/>
      <c r="B60" t="s">
        <v>43</v>
      </c>
      <c r="C60" s="27"/>
      <c r="D60" s="4"/>
      <c r="E60" s="25"/>
      <c r="F60" s="25"/>
      <c r="G60" s="25"/>
      <c r="H60" s="25"/>
      <c r="I60" s="25"/>
      <c r="J60" s="25"/>
      <c r="K60" s="25"/>
      <c r="L60" s="25"/>
    </row>
    <row r="61" spans="1:16" x14ac:dyDescent="0.25">
      <c r="A61" s="2"/>
      <c r="B61" t="s">
        <v>52</v>
      </c>
      <c r="C61" s="27">
        <v>784</v>
      </c>
      <c r="D61" s="4"/>
      <c r="E61" s="36">
        <f>$C$61*E10</f>
        <v>3136</v>
      </c>
      <c r="F61" s="36">
        <f t="shared" ref="E61:L61" si="19">$C$61*F10</f>
        <v>3136</v>
      </c>
      <c r="G61" s="36">
        <f t="shared" si="19"/>
        <v>3136</v>
      </c>
      <c r="H61" s="36">
        <f t="shared" si="19"/>
        <v>3920</v>
      </c>
      <c r="I61" s="36">
        <f t="shared" si="19"/>
        <v>4704</v>
      </c>
      <c r="J61" s="36">
        <f t="shared" si="19"/>
        <v>4704</v>
      </c>
      <c r="K61" s="36">
        <f t="shared" si="19"/>
        <v>4704</v>
      </c>
      <c r="L61" s="36">
        <f t="shared" si="19"/>
        <v>4704</v>
      </c>
    </row>
    <row r="62" spans="1:16" x14ac:dyDescent="0.25">
      <c r="A62" s="2"/>
      <c r="C62" s="27"/>
      <c r="D62" s="4"/>
      <c r="E62" s="25"/>
      <c r="F62" s="25"/>
      <c r="G62" s="25"/>
      <c r="H62" s="25"/>
      <c r="I62" s="25"/>
      <c r="J62" s="25"/>
      <c r="K62" s="25"/>
      <c r="L62" s="25"/>
    </row>
    <row r="63" spans="1:16" ht="15.75" thickBot="1" x14ac:dyDescent="0.3">
      <c r="A63" s="23"/>
      <c r="B63" s="24" t="s">
        <v>33</v>
      </c>
      <c r="C63" s="28"/>
      <c r="D63" s="22"/>
      <c r="E63" s="26"/>
      <c r="F63" s="26"/>
      <c r="G63" s="26"/>
      <c r="H63" s="26"/>
      <c r="I63" s="26"/>
      <c r="J63" s="26"/>
      <c r="K63" s="26"/>
      <c r="L63" s="26"/>
    </row>
    <row r="64" spans="1:16" x14ac:dyDescent="0.25">
      <c r="A64" s="2"/>
      <c r="B64" s="10" t="s">
        <v>25</v>
      </c>
      <c r="C64" s="16"/>
      <c r="D64" s="16"/>
      <c r="E64" s="17">
        <f>SUM(E48:E63)</f>
        <v>784679.45599999989</v>
      </c>
      <c r="F64" s="17">
        <f t="shared" ref="F64:L64" si="20">SUM(F48:F63)</f>
        <v>927870.2699999999</v>
      </c>
      <c r="G64" s="17">
        <f t="shared" si="20"/>
        <v>1012676.5739999999</v>
      </c>
      <c r="H64" s="17">
        <f t="shared" si="20"/>
        <v>1062011.5877</v>
      </c>
      <c r="I64" s="17">
        <f t="shared" si="20"/>
        <v>1193177.2785367998</v>
      </c>
      <c r="J64" s="17">
        <f t="shared" si="20"/>
        <v>1242997.0895662778</v>
      </c>
      <c r="K64" s="17">
        <f t="shared" si="20"/>
        <v>1393533.6694066415</v>
      </c>
      <c r="L64" s="17">
        <f t="shared" si="20"/>
        <v>1483632.6622446172</v>
      </c>
    </row>
    <row r="65" spans="1:16" x14ac:dyDescent="0.25">
      <c r="A65" s="2"/>
      <c r="C65" s="4"/>
      <c r="D65" s="4"/>
      <c r="E65" s="3"/>
      <c r="F65" s="3"/>
      <c r="G65" s="3"/>
      <c r="H65" s="3"/>
      <c r="I65" s="3"/>
      <c r="J65" s="3"/>
      <c r="K65" s="3"/>
      <c r="L65" s="3"/>
    </row>
    <row r="66" spans="1:16" s="18" customFormat="1" x14ac:dyDescent="0.25">
      <c r="B66" s="18" t="s">
        <v>16</v>
      </c>
      <c r="E66" s="19">
        <f>E64-E44</f>
        <v>0.28000000002793968</v>
      </c>
      <c r="F66" s="19">
        <f t="shared" ref="F66:L66" si="21">F64-F44</f>
        <v>0.28000000002793968</v>
      </c>
      <c r="G66" s="19">
        <f t="shared" si="21"/>
        <v>0.27999999991152436</v>
      </c>
      <c r="H66" s="19">
        <f t="shared" si="21"/>
        <v>-0.39999999990686774</v>
      </c>
      <c r="I66" s="19">
        <f t="shared" si="21"/>
        <v>-8.0000000074505806E-2</v>
      </c>
      <c r="J66" s="19">
        <f t="shared" si="21"/>
        <v>7972.0399999998044</v>
      </c>
      <c r="K66" s="19">
        <f t="shared" si="21"/>
        <v>63972.040000000037</v>
      </c>
      <c r="L66" s="19">
        <f t="shared" si="21"/>
        <v>77972.04000000027</v>
      </c>
    </row>
    <row r="67" spans="1:16" s="18" customFormat="1" x14ac:dyDescent="0.25">
      <c r="B67" s="54" t="s">
        <v>59</v>
      </c>
      <c r="C67" s="54"/>
      <c r="D67" s="54"/>
      <c r="E67" s="55">
        <f>SUM(E48:E51)</f>
        <v>185306</v>
      </c>
      <c r="F67" s="55">
        <f t="shared" ref="E67:L67" si="22">SUM(F48:F51)</f>
        <v>200408</v>
      </c>
      <c r="G67" s="55">
        <f t="shared" si="22"/>
        <v>200408</v>
      </c>
      <c r="H67" s="55">
        <f t="shared" si="22"/>
        <v>235408</v>
      </c>
      <c r="I67" s="55">
        <f t="shared" si="22"/>
        <v>270408</v>
      </c>
      <c r="J67" s="55">
        <f t="shared" si="22"/>
        <v>278510</v>
      </c>
      <c r="K67" s="55">
        <f t="shared" si="22"/>
        <v>334510</v>
      </c>
      <c r="L67" s="55">
        <f t="shared" si="22"/>
        <v>348510</v>
      </c>
      <c r="M67" s="19"/>
      <c r="N67" s="43"/>
    </row>
    <row r="68" spans="1:16" s="18" customFormat="1" x14ac:dyDescent="0.25">
      <c r="B68" s="54" t="s">
        <v>58</v>
      </c>
      <c r="C68" s="54"/>
      <c r="D68" s="54"/>
      <c r="E68" s="55">
        <f>E67-E51</f>
        <v>140000</v>
      </c>
      <c r="F68" s="55">
        <f t="shared" ref="F68:L68" si="23">F67-F51</f>
        <v>140000</v>
      </c>
      <c r="G68" s="55">
        <f t="shared" si="23"/>
        <v>140000</v>
      </c>
      <c r="H68" s="55">
        <f t="shared" si="23"/>
        <v>175000</v>
      </c>
      <c r="I68" s="55">
        <f t="shared" si="23"/>
        <v>210000</v>
      </c>
      <c r="J68" s="55">
        <f t="shared" si="23"/>
        <v>203000</v>
      </c>
      <c r="K68" s="55">
        <f t="shared" si="23"/>
        <v>259000</v>
      </c>
      <c r="L68" s="55">
        <f t="shared" si="23"/>
        <v>273000</v>
      </c>
      <c r="M68" s="19"/>
      <c r="N68" s="43"/>
    </row>
    <row r="69" spans="1:16" x14ac:dyDescent="0.25">
      <c r="A69" s="2" t="s">
        <v>15</v>
      </c>
      <c r="N69" s="149"/>
      <c r="O69" s="149"/>
    </row>
    <row r="70" spans="1:16" ht="50.25" customHeight="1" x14ac:dyDescent="0.25">
      <c r="B70" s="151" t="s">
        <v>57</v>
      </c>
      <c r="C70" s="151"/>
      <c r="D70" s="151"/>
      <c r="E70" s="151"/>
      <c r="F70" s="151"/>
      <c r="G70" s="151"/>
      <c r="H70" s="151"/>
      <c r="I70" s="151"/>
      <c r="J70" s="151"/>
      <c r="K70" s="151"/>
      <c r="L70" s="151"/>
      <c r="M70" s="6"/>
      <c r="N70" s="6"/>
    </row>
    <row r="71" spans="1:16" x14ac:dyDescent="0.25">
      <c r="K71" s="42"/>
      <c r="L71" s="6"/>
      <c r="M71" s="6"/>
      <c r="N71" s="6"/>
      <c r="P71" s="7"/>
    </row>
    <row r="72" spans="1:16" x14ac:dyDescent="0.25">
      <c r="K72" s="42"/>
      <c r="L72" s="42"/>
    </row>
  </sheetData>
  <mergeCells count="3">
    <mergeCell ref="A3:B3"/>
    <mergeCell ref="N69:O69"/>
    <mergeCell ref="B70:L70"/>
  </mergeCells>
  <printOptions horizontalCentered="1"/>
  <pageMargins left="0.25" right="0.25"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36B7A-A11F-45D8-97C2-343F08FFBE45}">
  <sheetPr>
    <tabColor rgb="FF002060"/>
  </sheetPr>
  <dimension ref="A1:D33"/>
  <sheetViews>
    <sheetView workbookViewId="0">
      <selection activeCell="D25" sqref="D25"/>
    </sheetView>
  </sheetViews>
  <sheetFormatPr defaultRowHeight="15" x14ac:dyDescent="0.2"/>
  <cols>
    <col min="1" max="1" width="179.140625" style="59" customWidth="1"/>
    <col min="2" max="16384" width="9.140625" style="59"/>
  </cols>
  <sheetData>
    <row r="1" spans="1:3" x14ac:dyDescent="0.2">
      <c r="A1" s="58" t="s">
        <v>69</v>
      </c>
    </row>
    <row r="2" spans="1:3" x14ac:dyDescent="0.2">
      <c r="A2" s="60"/>
    </row>
    <row r="3" spans="1:3" x14ac:dyDescent="0.2">
      <c r="A3" s="61" t="s">
        <v>99</v>
      </c>
    </row>
    <row r="4" spans="1:3" x14ac:dyDescent="0.2">
      <c r="A4" s="60"/>
    </row>
    <row r="5" spans="1:3" x14ac:dyDescent="0.2">
      <c r="A5" s="61" t="s">
        <v>80</v>
      </c>
      <c r="C5" s="63"/>
    </row>
    <row r="6" spans="1:3" x14ac:dyDescent="0.2">
      <c r="A6" s="64" t="s">
        <v>64</v>
      </c>
      <c r="C6" s="63"/>
    </row>
    <row r="7" spans="1:3" x14ac:dyDescent="0.2">
      <c r="A7" s="64" t="s">
        <v>65</v>
      </c>
      <c r="B7" s="65"/>
      <c r="C7" s="63"/>
    </row>
    <row r="8" spans="1:3" x14ac:dyDescent="0.2">
      <c r="A8" s="64" t="s">
        <v>75</v>
      </c>
      <c r="B8" s="65"/>
      <c r="C8" s="63"/>
    </row>
    <row r="9" spans="1:3" x14ac:dyDescent="0.2">
      <c r="A9" s="64" t="s">
        <v>92</v>
      </c>
      <c r="B9" s="65"/>
    </row>
    <row r="10" spans="1:3" x14ac:dyDescent="0.2">
      <c r="A10" s="64" t="s">
        <v>66</v>
      </c>
      <c r="B10" s="66"/>
    </row>
    <row r="11" spans="1:3" x14ac:dyDescent="0.2">
      <c r="A11" s="67" t="s">
        <v>67</v>
      </c>
      <c r="B11" s="65"/>
    </row>
    <row r="12" spans="1:3" x14ac:dyDescent="0.2">
      <c r="A12" s="64" t="s">
        <v>93</v>
      </c>
      <c r="B12" s="65"/>
    </row>
    <row r="13" spans="1:3" x14ac:dyDescent="0.2">
      <c r="A13" s="64" t="s">
        <v>94</v>
      </c>
    </row>
    <row r="14" spans="1:3" x14ac:dyDescent="0.2">
      <c r="A14" s="64" t="s">
        <v>68</v>
      </c>
    </row>
    <row r="15" spans="1:3" x14ac:dyDescent="0.2">
      <c r="A15" s="64"/>
      <c r="B15" s="68"/>
    </row>
    <row r="16" spans="1:3" x14ac:dyDescent="0.2">
      <c r="A16" s="61" t="s">
        <v>81</v>
      </c>
    </row>
    <row r="17" spans="1:4" x14ac:dyDescent="0.2">
      <c r="A17" s="64" t="s">
        <v>76</v>
      </c>
    </row>
    <row r="18" spans="1:4" x14ac:dyDescent="0.2">
      <c r="A18" s="64" t="s">
        <v>90</v>
      </c>
    </row>
    <row r="19" spans="1:4" x14ac:dyDescent="0.2">
      <c r="A19" s="62" t="s">
        <v>91</v>
      </c>
    </row>
    <row r="20" spans="1:4" x14ac:dyDescent="0.2">
      <c r="A20" s="64"/>
      <c r="B20" s="68"/>
    </row>
    <row r="21" spans="1:4" x14ac:dyDescent="0.2">
      <c r="A21" s="98" t="s">
        <v>82</v>
      </c>
    </row>
    <row r="22" spans="1:4" x14ac:dyDescent="0.2">
      <c r="A22" s="64" t="s">
        <v>101</v>
      </c>
    </row>
    <row r="23" spans="1:4" x14ac:dyDescent="0.2">
      <c r="A23" s="64" t="s">
        <v>102</v>
      </c>
    </row>
    <row r="24" spans="1:4" x14ac:dyDescent="0.2">
      <c r="A24" s="64" t="s">
        <v>79</v>
      </c>
      <c r="B24" s="68"/>
    </row>
    <row r="25" spans="1:4" x14ac:dyDescent="0.2">
      <c r="A25" s="64"/>
      <c r="D25" s="59">
        <f>(0.5+1.85)</f>
        <v>2.35</v>
      </c>
    </row>
    <row r="26" spans="1:4" x14ac:dyDescent="0.2">
      <c r="A26" s="134" t="s">
        <v>96</v>
      </c>
    </row>
    <row r="27" spans="1:4" x14ac:dyDescent="0.2">
      <c r="A27" s="64" t="s">
        <v>97</v>
      </c>
    </row>
    <row r="28" spans="1:4" x14ac:dyDescent="0.2">
      <c r="A28" s="64" t="s">
        <v>98</v>
      </c>
    </row>
    <row r="29" spans="1:4" x14ac:dyDescent="0.2">
      <c r="A29" s="60"/>
    </row>
    <row r="30" spans="1:4" x14ac:dyDescent="0.2">
      <c r="A30" s="100" t="s">
        <v>89</v>
      </c>
    </row>
    <row r="31" spans="1:4" x14ac:dyDescent="0.2">
      <c r="A31" s="101" t="s">
        <v>87</v>
      </c>
    </row>
    <row r="32" spans="1:4" x14ac:dyDescent="0.2">
      <c r="A32" s="101" t="s">
        <v>88</v>
      </c>
    </row>
    <row r="33" spans="1:1" ht="15.75" x14ac:dyDescent="0.25">
      <c r="A33" s="135" t="s">
        <v>100</v>
      </c>
    </row>
  </sheetData>
  <hyperlinks>
    <hyperlink ref="A11" r:id="rId1" xr:uid="{E3A161F2-D5A3-4628-9668-C6224FC03028}"/>
    <hyperlink ref="A31" r:id="rId2" display="https://research.uci.edu/sponsored-projects/employee-fringe-benefits/" xr:uid="{F4098B39-0920-4E75-9FA4-47B5F7BD4599}"/>
    <hyperlink ref="A32" r:id="rId3" display="https://accounting.uci.edu/cost-analysis/index.html" xr:uid="{7B36C40E-97A7-4241-A2C0-EDD3D29DC899}"/>
    <hyperlink ref="A33" r:id="rId4" display="https://budgetoffice.uci.edu/new-programs/index.php" xr:uid="{06DA043A-2749-4901-8F2C-94DD3D6518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35A21-6972-4BBF-A610-B10F81CB2972}">
  <sheetPr>
    <tabColor theme="6" tint="-0.249977111117893"/>
  </sheetPr>
  <dimension ref="A1:M47"/>
  <sheetViews>
    <sheetView topLeftCell="A12" zoomScale="85" zoomScaleNormal="85" workbookViewId="0">
      <selection activeCell="D48" sqref="D48"/>
    </sheetView>
  </sheetViews>
  <sheetFormatPr defaultRowHeight="15" x14ac:dyDescent="0.25"/>
  <cols>
    <col min="1" max="1" width="43.42578125" customWidth="1"/>
    <col min="2" max="2" width="54.140625" bestFit="1" customWidth="1"/>
    <col min="8" max="10" width="0" hidden="1" customWidth="1"/>
  </cols>
  <sheetData>
    <row r="1" spans="1:13" ht="15.75" x14ac:dyDescent="0.25">
      <c r="A1" s="142" t="s">
        <v>142</v>
      </c>
    </row>
    <row r="2" spans="1:13" ht="15.75" x14ac:dyDescent="0.25">
      <c r="A2" s="143" t="s">
        <v>67</v>
      </c>
      <c r="B2" s="144"/>
      <c r="C2" s="152" t="s">
        <v>123</v>
      </c>
      <c r="D2" s="152" t="s">
        <v>124</v>
      </c>
      <c r="E2" s="152" t="s">
        <v>125</v>
      </c>
      <c r="F2" s="152" t="s">
        <v>126</v>
      </c>
      <c r="G2" s="152" t="s">
        <v>127</v>
      </c>
      <c r="H2" s="152" t="s">
        <v>128</v>
      </c>
      <c r="I2" s="152" t="s">
        <v>129</v>
      </c>
    </row>
    <row r="3" spans="1:13" ht="15.75" x14ac:dyDescent="0.25">
      <c r="A3" s="143"/>
      <c r="B3" s="144"/>
      <c r="C3" s="152"/>
      <c r="D3" s="152"/>
      <c r="E3" s="152"/>
      <c r="F3" s="152"/>
      <c r="G3" s="152"/>
      <c r="H3" s="152"/>
      <c r="I3" s="152"/>
    </row>
    <row r="4" spans="1:13" x14ac:dyDescent="0.25">
      <c r="A4" s="76" t="s">
        <v>104</v>
      </c>
      <c r="B4" s="76"/>
      <c r="C4" s="152"/>
      <c r="D4" s="152"/>
      <c r="E4" s="152"/>
      <c r="F4" s="152"/>
      <c r="G4" s="152"/>
      <c r="H4" s="152"/>
      <c r="I4" s="152"/>
      <c r="K4" s="1"/>
    </row>
    <row r="5" spans="1:13" x14ac:dyDescent="0.25">
      <c r="A5">
        <v>1</v>
      </c>
      <c r="B5" t="s">
        <v>105</v>
      </c>
      <c r="C5" s="136">
        <v>0.35599999999999998</v>
      </c>
      <c r="D5" s="136">
        <v>0.32700000000000001</v>
      </c>
      <c r="E5" s="136">
        <v>0.32600000000000001</v>
      </c>
      <c r="F5" s="136">
        <v>0.35299999999999998</v>
      </c>
      <c r="G5" s="136">
        <v>0.36599999999999999</v>
      </c>
      <c r="H5" s="136">
        <v>0.379</v>
      </c>
      <c r="I5" s="136">
        <v>0.39200000000000002</v>
      </c>
      <c r="K5" s="136"/>
      <c r="L5" s="136"/>
    </row>
    <row r="6" spans="1:13" x14ac:dyDescent="0.25">
      <c r="A6">
        <v>2</v>
      </c>
      <c r="B6" t="s">
        <v>107</v>
      </c>
      <c r="C6" s="136">
        <v>0.33100000000000002</v>
      </c>
      <c r="D6" s="136">
        <v>0.41299999999999998</v>
      </c>
      <c r="E6" s="136">
        <v>0.46500000000000002</v>
      </c>
      <c r="F6" s="136">
        <v>0.439</v>
      </c>
      <c r="G6" s="136">
        <v>0.45200000000000001</v>
      </c>
      <c r="H6" s="136">
        <v>0.46500000000000002</v>
      </c>
      <c r="I6" s="136">
        <v>0.47799999999999998</v>
      </c>
      <c r="K6" s="136"/>
      <c r="L6" s="136"/>
    </row>
    <row r="7" spans="1:13" x14ac:dyDescent="0.25">
      <c r="A7">
        <v>3</v>
      </c>
      <c r="B7" t="s">
        <v>108</v>
      </c>
      <c r="C7" s="136">
        <v>0.214</v>
      </c>
      <c r="D7" s="136">
        <v>0.19800000000000001</v>
      </c>
      <c r="E7" s="136">
        <v>0.19500000000000001</v>
      </c>
      <c r="F7" s="136">
        <v>0.22600000000000001</v>
      </c>
      <c r="G7" s="136">
        <v>0.24</v>
      </c>
      <c r="H7" s="136">
        <v>0.254</v>
      </c>
      <c r="I7" s="136">
        <v>0.26800000000000002</v>
      </c>
      <c r="K7" s="136"/>
      <c r="L7" s="136"/>
    </row>
    <row r="8" spans="1:13" x14ac:dyDescent="0.25">
      <c r="A8">
        <v>4</v>
      </c>
      <c r="B8" t="s">
        <v>109</v>
      </c>
      <c r="C8" s="136">
        <v>0.24199999999999999</v>
      </c>
      <c r="D8" s="136">
        <v>0.24399999999999999</v>
      </c>
      <c r="E8" s="136">
        <v>0.23799999999999999</v>
      </c>
      <c r="F8" s="136">
        <v>0.28000000000000003</v>
      </c>
      <c r="G8" s="136">
        <v>0.29799999999999999</v>
      </c>
      <c r="H8" s="136">
        <v>0.316</v>
      </c>
      <c r="I8" s="136">
        <v>0.33400000000000002</v>
      </c>
      <c r="K8" s="136"/>
      <c r="L8" s="136"/>
    </row>
    <row r="9" spans="1:13" x14ac:dyDescent="0.25">
      <c r="A9">
        <v>5</v>
      </c>
      <c r="B9" t="s">
        <v>110</v>
      </c>
      <c r="C9" s="136">
        <v>0.39900000000000002</v>
      </c>
      <c r="D9" s="136">
        <v>0.41299999999999998</v>
      </c>
      <c r="E9" s="136">
        <v>0.46500000000000002</v>
      </c>
      <c r="F9" s="136">
        <v>0.439</v>
      </c>
      <c r="G9" s="136">
        <v>0.45200000000000001</v>
      </c>
      <c r="H9" s="136">
        <v>0.46500000000000002</v>
      </c>
      <c r="I9" s="136">
        <v>0.47799999999999998</v>
      </c>
      <c r="K9" s="136"/>
      <c r="L9" s="136"/>
    </row>
    <row r="10" spans="1:13" x14ac:dyDescent="0.25">
      <c r="A10">
        <v>6</v>
      </c>
      <c r="B10" t="s">
        <v>111</v>
      </c>
      <c r="C10" s="136">
        <v>0.49</v>
      </c>
      <c r="D10" s="136">
        <v>0.48699999999999999</v>
      </c>
      <c r="E10" s="136">
        <v>0.52</v>
      </c>
      <c r="F10" s="136">
        <v>0.53900000000000003</v>
      </c>
      <c r="G10" s="136">
        <v>0.56499999999999995</v>
      </c>
      <c r="H10" s="136">
        <v>0.59099999999999997</v>
      </c>
      <c r="I10" s="136">
        <v>0.61699999999999999</v>
      </c>
      <c r="K10" s="136"/>
      <c r="L10" s="136"/>
    </row>
    <row r="11" spans="1:13" x14ac:dyDescent="0.25">
      <c r="A11">
        <v>7</v>
      </c>
      <c r="B11" t="s">
        <v>112</v>
      </c>
      <c r="C11" s="136">
        <v>0.57799999999999996</v>
      </c>
      <c r="D11" s="136">
        <v>0.48699999999999999</v>
      </c>
      <c r="E11" s="136">
        <v>0.52</v>
      </c>
      <c r="F11" s="136">
        <v>0.53900000000000003</v>
      </c>
      <c r="G11" s="136">
        <v>0.56499999999999995</v>
      </c>
      <c r="H11" s="136">
        <v>0.59099999999999997</v>
      </c>
      <c r="I11" s="136">
        <v>0.61699999999999999</v>
      </c>
      <c r="K11" s="136"/>
      <c r="L11" s="136"/>
    </row>
    <row r="12" spans="1:13" x14ac:dyDescent="0.25">
      <c r="A12" t="s">
        <v>106</v>
      </c>
      <c r="B12" t="s">
        <v>113</v>
      </c>
      <c r="C12" t="s">
        <v>106</v>
      </c>
      <c r="D12" t="s">
        <v>106</v>
      </c>
      <c r="E12" t="s">
        <v>106</v>
      </c>
      <c r="F12" t="s">
        <v>106</v>
      </c>
      <c r="G12" t="s">
        <v>106</v>
      </c>
      <c r="H12" t="s">
        <v>106</v>
      </c>
      <c r="L12" s="136"/>
    </row>
    <row r="13" spans="1:13" x14ac:dyDescent="0.25">
      <c r="A13">
        <v>8</v>
      </c>
      <c r="B13" t="s">
        <v>114</v>
      </c>
      <c r="C13" s="136">
        <v>9.8000000000000004E-2</v>
      </c>
      <c r="D13" s="136">
        <v>6.6000000000000003E-2</v>
      </c>
      <c r="E13" s="136">
        <v>5.2999999999999999E-2</v>
      </c>
      <c r="F13" s="136">
        <v>9.6000000000000002E-2</v>
      </c>
      <c r="G13" s="136">
        <v>0.111</v>
      </c>
      <c r="H13" s="136">
        <v>0.126</v>
      </c>
      <c r="I13" s="136">
        <v>0.14099999999999999</v>
      </c>
      <c r="K13" s="136"/>
      <c r="L13" s="136"/>
    </row>
    <row r="14" spans="1:13" x14ac:dyDescent="0.25">
      <c r="A14">
        <v>9</v>
      </c>
      <c r="B14" t="s">
        <v>115</v>
      </c>
      <c r="C14" s="136">
        <v>1.6E-2</v>
      </c>
      <c r="D14" s="136">
        <v>2.5999999999999999E-2</v>
      </c>
      <c r="E14" s="136">
        <v>0.02</v>
      </c>
      <c r="F14" s="136">
        <v>0.03</v>
      </c>
      <c r="G14" s="136">
        <v>3.2000000000000001E-2</v>
      </c>
      <c r="H14" s="136">
        <v>3.4000000000000002E-2</v>
      </c>
      <c r="I14" s="136">
        <v>3.5999999999999997E-2</v>
      </c>
      <c r="K14" s="136"/>
      <c r="L14" s="136"/>
    </row>
    <row r="15" spans="1:13" x14ac:dyDescent="0.25">
      <c r="A15">
        <v>10</v>
      </c>
      <c r="B15" t="s">
        <v>116</v>
      </c>
      <c r="C15" s="136">
        <v>0.113</v>
      </c>
      <c r="D15" s="136">
        <v>2.5999999999999999E-2</v>
      </c>
      <c r="E15" s="136">
        <v>0.02</v>
      </c>
      <c r="F15" s="136">
        <v>0.03</v>
      </c>
      <c r="G15" s="136">
        <v>3.2000000000000001E-2</v>
      </c>
      <c r="H15" s="136">
        <v>3.4000000000000002E-2</v>
      </c>
      <c r="I15" s="136">
        <v>3.5999999999999997E-2</v>
      </c>
      <c r="K15" s="136"/>
      <c r="L15" s="136"/>
    </row>
    <row r="16" spans="1:13" x14ac:dyDescent="0.25">
      <c r="M16" s="136"/>
    </row>
    <row r="20" spans="1:2" x14ac:dyDescent="0.25">
      <c r="A20" s="76" t="s">
        <v>117</v>
      </c>
    </row>
    <row r="22" spans="1:2" x14ac:dyDescent="0.25">
      <c r="A22" t="s">
        <v>118</v>
      </c>
    </row>
    <row r="23" spans="1:2" x14ac:dyDescent="0.25">
      <c r="A23" t="s">
        <v>119</v>
      </c>
    </row>
    <row r="24" spans="1:2" x14ac:dyDescent="0.25">
      <c r="A24" t="s">
        <v>120</v>
      </c>
      <c r="B24" s="136">
        <v>7.4999999999999997E-2</v>
      </c>
    </row>
    <row r="25" spans="1:2" x14ac:dyDescent="0.25">
      <c r="A25" t="s">
        <v>121</v>
      </c>
      <c r="B25" s="136">
        <v>7.4999999999999997E-2</v>
      </c>
    </row>
    <row r="26" spans="1:2" x14ac:dyDescent="0.25">
      <c r="A26" t="s">
        <v>144</v>
      </c>
      <c r="B26" s="136">
        <v>0</v>
      </c>
    </row>
    <row r="28" spans="1:2" x14ac:dyDescent="0.25">
      <c r="A28" t="s">
        <v>122</v>
      </c>
    </row>
    <row r="31" spans="1:2" ht="15.75" x14ac:dyDescent="0.25">
      <c r="A31" s="141" t="s">
        <v>130</v>
      </c>
      <c r="B31" s="140"/>
    </row>
    <row r="33" spans="1:11" x14ac:dyDescent="0.25">
      <c r="A33" t="s">
        <v>131</v>
      </c>
    </row>
    <row r="35" spans="1:11" x14ac:dyDescent="0.25">
      <c r="A35" s="138" t="s">
        <v>132</v>
      </c>
      <c r="B35" s="138" t="s">
        <v>133</v>
      </c>
    </row>
    <row r="36" spans="1:11" x14ac:dyDescent="0.25">
      <c r="A36" s="137" t="s">
        <v>134</v>
      </c>
      <c r="B36" s="139">
        <v>7.7000000000000002E-3</v>
      </c>
    </row>
    <row r="37" spans="1:11" x14ac:dyDescent="0.25">
      <c r="A37" s="137" t="s">
        <v>135</v>
      </c>
      <c r="B37" s="139">
        <v>3.0000000000000001E-3</v>
      </c>
    </row>
    <row r="38" spans="1:11" x14ac:dyDescent="0.25">
      <c r="A38" s="137" t="s">
        <v>136</v>
      </c>
      <c r="B38" s="139">
        <v>3.0000000000000001E-3</v>
      </c>
    </row>
    <row r="39" spans="1:11" x14ac:dyDescent="0.25">
      <c r="A39" s="137" t="s">
        <v>137</v>
      </c>
      <c r="B39" s="139">
        <v>3.0000000000000001E-3</v>
      </c>
    </row>
    <row r="40" spans="1:11" x14ac:dyDescent="0.25">
      <c r="A40" s="137" t="s">
        <v>138</v>
      </c>
      <c r="B40" s="139">
        <v>6.7999999999999996E-3</v>
      </c>
    </row>
    <row r="42" spans="1:11" x14ac:dyDescent="0.25">
      <c r="A42" s="1" t="s">
        <v>103</v>
      </c>
      <c r="B42" s="1"/>
      <c r="C42" s="1"/>
      <c r="D42" s="1"/>
      <c r="E42" s="1"/>
    </row>
    <row r="44" spans="1:11" x14ac:dyDescent="0.25">
      <c r="A44" s="147" t="s">
        <v>143</v>
      </c>
      <c r="D44" s="147" t="s">
        <v>145</v>
      </c>
      <c r="E44" s="147"/>
      <c r="F44" s="147"/>
      <c r="G44" s="147"/>
      <c r="H44" s="147"/>
      <c r="I44" s="147"/>
      <c r="J44" s="147"/>
      <c r="K44" s="147"/>
    </row>
    <row r="45" spans="1:11" x14ac:dyDescent="0.25">
      <c r="A45" s="145" t="s">
        <v>139</v>
      </c>
      <c r="B45" s="146">
        <f>E5+B24+B40</f>
        <v>0.4078</v>
      </c>
      <c r="D45" s="146">
        <v>1.8499999999999999E-2</v>
      </c>
      <c r="E45" s="145"/>
      <c r="F45" s="145"/>
      <c r="G45" s="145"/>
    </row>
    <row r="46" spans="1:11" x14ac:dyDescent="0.25">
      <c r="A46" s="145" t="s">
        <v>140</v>
      </c>
      <c r="B46" s="146">
        <f>E9+B25+B40</f>
        <v>0.54680000000000006</v>
      </c>
      <c r="D46" s="146">
        <v>1.8499999999999999E-2</v>
      </c>
      <c r="E46" s="145"/>
      <c r="F46" s="145"/>
      <c r="G46" s="145"/>
    </row>
    <row r="47" spans="1:11" x14ac:dyDescent="0.25">
      <c r="A47" s="145" t="s">
        <v>141</v>
      </c>
      <c r="B47" s="146">
        <f>E10+B25+B40</f>
        <v>0.6018</v>
      </c>
      <c r="D47" s="146">
        <v>1.8499999999999999E-2</v>
      </c>
      <c r="E47" s="145"/>
      <c r="F47" s="145"/>
      <c r="G47" s="145"/>
    </row>
  </sheetData>
  <mergeCells count="7">
    <mergeCell ref="H2:H4"/>
    <mergeCell ref="I2:I4"/>
    <mergeCell ref="C2:C4"/>
    <mergeCell ref="D2:D4"/>
    <mergeCell ref="E2:E4"/>
    <mergeCell ref="F2:F4"/>
    <mergeCell ref="G2:G4"/>
  </mergeCells>
  <hyperlinks>
    <hyperlink ref="A2" r:id="rId1" xr:uid="{4B2B91A9-C3F6-47AB-B6DF-E470BAF663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Funding Model</vt:lpstr>
      <vt:lpstr>Funding Model (Example)</vt:lpstr>
      <vt:lpstr>Planning Assumptions &amp; Inst</vt:lpstr>
      <vt:lpstr>Benefit Rates Resources</vt:lpstr>
      <vt:lpstr>'Funding Model'!Print_Area</vt:lpstr>
      <vt:lpstr>'Funding Model (Example)'!Print_Area</vt:lpstr>
    </vt:vector>
  </TitlesOfParts>
  <Company>UC Irvine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Fravien</dc:creator>
  <cp:lastModifiedBy>Anjali Mathuria</cp:lastModifiedBy>
  <cp:lastPrinted>2020-11-09T23:35:07Z</cp:lastPrinted>
  <dcterms:created xsi:type="dcterms:W3CDTF">2018-11-05T23:46:04Z</dcterms:created>
  <dcterms:modified xsi:type="dcterms:W3CDTF">2024-01-29T19:35:04Z</dcterms:modified>
</cp:coreProperties>
</file>